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Inputs" sheetId="2" state="visible" r:id="rId4"/>
    <sheet name="Computation" sheetId="3" state="visible" r:id="rId5"/>
    <sheet name="Get Pr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<sst xmlns="http://schemas.openxmlformats.org/spreadsheetml/2006/main" count="157" uniqueCount="152">
  <si>
    <t xml:space="preserve">Advance Tax Calculator 2026-27</t>
  </si>
  <si>
    <t xml:space="preserve">Estimate advance tax for tax year 2026-27 under the Income-tax Act, 2025: income from salary, house property, business (including presumptive), capital gains and other sources, both regimes, TDS credit, the four instalments and interest for shortfalls.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</si>
  <si>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</si>
  <si>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</si>
  <si>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</si>
  <si>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</si>
  <si>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Estimates advance tax for tax year 2026-27 (April 2026 – March 2027) under the Income-tax Act, 2025. Enter expected income from salary, house property, business or profession (actual or presumptive), other sources and capital gains, plus TDS/TCS. The calculator works out tax under both regimes, whether you need to pay advance tax, the amount due by each of the four instalment dates, and interest for shortfalls.</t>
  </si>
  <si>
    <t xml:space="preserve">How to use</t>
  </si>
  <si>
    <t xml:space="preserve">1. Inputs</t>
  </si>
  <si>
    <t xml:space="preserve">Enter your age group, regime and estimated income for the year, deductions (old regime), TDS/TCS and advance tax already paid.</t>
  </si>
  <si>
    <t xml:space="preserve">2. Computation</t>
  </si>
  <si>
    <t xml:space="preserve">Compare the regimes, check whether advance tax applies, and see the instalments, shortfalls and estimated interest.</t>
  </si>
  <si>
    <t xml:space="preserve">3. Each quarter</t>
  </si>
  <si>
    <t xml:space="preserve">Revise the estimates before each due date and pay the difference.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</si>
  <si>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</si>
  <si>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</si>
  <si>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</si>
  <si>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</si>
  <si>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</si>
  <si>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</si>
  <si>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</si>
  <si>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</si>
  <si>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</si>
  <si>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</si>
  <si>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Who pays</t>
  </si>
  <si>
    <t xml:space="preserve">Anyone whose tax for the year, after TDS and TCS, is ₹10,000 or more – except resident individuals aged 60 or more with no business or professional income.</t>
  </si>
  <si>
    <t xml:space="preserve">Due dates (s.408)</t>
  </si>
  <si>
    <t xml:space="preserve">15% by 15 June, 45% by 15 September, 75% by 15 December and 100% by 15 March. Presumptive taxpayers pay all of it by 15 March.</t>
  </si>
  <si>
    <t xml:space="preserve">Interest</t>
  </si>
  <si>
    <t xml:space="preserve">Deferment (s.425, old 234C): 1% a month on each shortfall – 3 months for the first three instalments (no interest if at least 12% / 36% is paid by June / September) and 1 month for March. Default (s.424, old 234B): 1% a month from April if less than 90% is paid by 31 March.</t>
  </si>
  <si>
    <t xml:space="preserve">Not covered</t>
  </si>
  <si>
    <t xml:space="preserve">Surcharge, AMT, losses brought forward and income of non-residents. Confirm with your CA.</t>
  </si>
  <si>
    <t xml:space="preserve">Assumptions in the sample data</t>
  </si>
  <si>
    <t xml:space="preserve">A Raipur trader with ₹16 lakh business profit (books of account, not presumptive), rent, interest and equity gains, who paid ₹40,000 in June and ₹70,000 in September; the December instalment is still to be paid.</t>
  </si>
  <si>
    <t xml:space="preserve">Pro edition includes</t>
  </si>
  <si>
    <t xml:space="preserve">✔</t>
  </si>
  <si>
    <t xml:space="preserve">Quarterly Estimate – revise your full-year income at each instalment and see what to pay in that instalment on the estimate at the time</t>
  </si>
  <si>
    <t xml:space="preserve">Challan Log – record BSR code, date, challan number and amount for every payment, checked against the total paid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</si>
  <si>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</si>
  <si>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</si>
  <si>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</si>
  <si>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</si>
  <si>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</si>
  <si>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</si>
  <si>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</si>
  <si>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</si>
  <si>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</si>
  <si>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</si>
  <si>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</si>
  <si>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</si>
  <si>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Inputs – estimated income for April 2026 to March 2027</t>
  </si>
  <si>
    <t xml:space="preserve">PB Lab · pblab.in/templates</t>
  </si>
  <si>
    <t xml:space="preserve">Blue cells are inputs. Amounts for the whole tax year.</t>
  </si>
  <si>
    <t xml:space="preserve">You</t>
  </si>
  <si>
    <t xml:space="preserve">Name</t>
  </si>
  <si>
    <t xml:space="preserve">Rakesh Agrawal</t>
  </si>
  <si>
    <t xml:space="preserve">Age group</t>
  </si>
  <si>
    <t xml:space="preserve">Below 60</t>
  </si>
  <si>
    <t xml:space="preserve">Resident seniors (60+) with no business income don't need to pay advance tax.</t>
  </si>
  <si>
    <t xml:space="preserve">Regime</t>
  </si>
  <si>
    <t xml:space="preserve">New</t>
  </si>
  <si>
    <t xml:space="preserve">Income</t>
  </si>
  <si>
    <t xml:space="preserve">Salary (gross taxable)</t>
  </si>
  <si>
    <t xml:space="preserve">Standard deduction is applied automatically.</t>
  </si>
  <si>
    <t xml:space="preserve">House property – net income (negative for loss)</t>
  </si>
  <si>
    <t xml:space="preserve">Rent less 30% and municipal tax; home-loan interest (old regime) reduces it.</t>
  </si>
  <si>
    <t xml:space="preserve">Business / profession</t>
  </si>
  <si>
    <t xml:space="preserve">Actual profit</t>
  </si>
  <si>
    <t xml:space="preserve">Turnover / gross receipts (for presumptive)</t>
  </si>
  <si>
    <t xml:space="preserve">Presumptive limits: ₹3 crore business (if cash receipts ≤ 5%), ₹75 lakh professionals.</t>
  </si>
  <si>
    <t xml:space="preserve">Actual business profit (if not presumptive)</t>
  </si>
  <si>
    <t xml:space="preserve">Other income – interest, dividends, etc.</t>
  </si>
  <si>
    <t xml:space="preserve">Short-term gain – listed shares / equity funds (STT paid)</t>
  </si>
  <si>
    <t xml:space="preserve">Taxed at 20%.</t>
  </si>
  <si>
    <t xml:space="preserve">Long-term gain – listed shares / equity funds (STT paid)</t>
  </si>
  <si>
    <t xml:space="preserve">12.5% above ₹1.25 lakh a year.</t>
  </si>
  <si>
    <t xml:space="preserve">Long-term gain – property, gold, unlisted shares, etc.</t>
  </si>
  <si>
    <t xml:space="preserve">12.5% (property bought before 23 July 2024: 20% with indexation if lower – use the Capital Gains Calculator).</t>
  </si>
  <si>
    <t xml:space="preserve">Deductions (old regime only)</t>
  </si>
  <si>
    <t xml:space="preserve">Total deductions – investments, insurance, NPS, etc.</t>
  </si>
  <si>
    <t xml:space="preserve">Specified investments up to ₹1.5 lakh, NPS ₹50,000, health insurance, etc.</t>
  </si>
  <si>
    <t xml:space="preserve">Taxes already deducted or paid</t>
  </si>
  <si>
    <t xml:space="preserve">TDS / TCS expected for the year</t>
  </si>
  <si>
    <t xml:space="preserve">From AIS / Form 26AS – bank interest, rent, contract receipts, etc.</t>
  </si>
  <si>
    <t xml:space="preserve">Advance tax paid so far</t>
  </si>
  <si>
    <t xml:space="preserve">Instalment</t>
  </si>
  <si>
    <t xml:space="preserve">Amount paid (₹)</t>
  </si>
  <si>
    <t xml:space="preserve">Note</t>
  </si>
  <si>
    <t xml:space="preserve">By 15 June 2026</t>
  </si>
  <si>
    <t xml:space="preserve">Enter the cumulative challans paid up to each due date (only the amount paid in that window).</t>
  </si>
  <si>
    <t xml:space="preserve">By 15 September 2026</t>
  </si>
  <si>
    <t xml:space="preserve">By 15 December 2026</t>
  </si>
  <si>
    <t xml:space="preserve">By 15 March 2027</t>
  </si>
  <si>
    <t xml:space="preserve">Rates (tax year 2026-27) – inputs</t>
  </si>
  <si>
    <t xml:space="preserve">Standard deduction – new regime</t>
  </si>
  <si>
    <t xml:space="preserve">Standard deduction – old regime</t>
  </si>
  <si>
    <t xml:space="preserve">Rebate – new regime, income up to (normal income)</t>
  </si>
  <si>
    <t xml:space="preserve">Not available against special-rate capital gains.</t>
  </si>
  <si>
    <t xml:space="preserve">Rebate – old regime, income up to</t>
  </si>
  <si>
    <t xml:space="preserve">Rate – short-term gain on listed equity</t>
  </si>
  <si>
    <t xml:space="preserve">Rate – long-term gain</t>
  </si>
  <si>
    <t xml:space="preserve">Exempt long-term gain on listed equity</t>
  </si>
  <si>
    <t xml:space="preserve">Cess</t>
  </si>
  <si>
    <t xml:space="preserve">Tax estimate and advance tax</t>
  </si>
  <si>
    <t xml:space="preserve">New regime</t>
  </si>
  <si>
    <t xml:space="preserve">Old regime</t>
  </si>
  <si>
    <t xml:space="preserve">Salary after standard deduction</t>
  </si>
  <si>
    <t xml:space="preserve">House property</t>
  </si>
  <si>
    <t xml:space="preserve">New regime: house-property loss can't be set off against other income.</t>
  </si>
  <si>
    <t xml:space="preserve">Other sources</t>
  </si>
  <si>
    <t xml:space="preserve">Normal income (before deductions)</t>
  </si>
  <si>
    <t xml:space="preserve">Less: deductions</t>
  </si>
  <si>
    <t xml:space="preserve">Normal income taxable at slab rates</t>
  </si>
  <si>
    <t xml:space="preserve">Short-term gain on listed equity (20%)</t>
  </si>
  <si>
    <t xml:space="preserve">Long-term gain on listed equity, above the exemption</t>
  </si>
  <si>
    <t xml:space="preserve">Other long-term gains (12.5%)</t>
  </si>
  <si>
    <t xml:space="preserve">Total income</t>
  </si>
  <si>
    <t xml:space="preserve">Tax on normal income</t>
  </si>
  <si>
    <t xml:space="preserve">Less: rebate / marginal relief</t>
  </si>
  <si>
    <t xml:space="preserve">New regime: no tax on normal income up to ₹12 lakh, with marginal relief just above.</t>
  </si>
  <si>
    <t xml:space="preserve">Tax on capital gains (special rates)</t>
  </si>
  <si>
    <t xml:space="preserve">Rebate is not available against these.</t>
  </si>
  <si>
    <t xml:space="preserve">Tax before cess</t>
  </si>
  <si>
    <t xml:space="preserve">Add: cess 4%</t>
  </si>
  <si>
    <t xml:space="preserve">Surcharge (income above ₹50 lakh) is not included – check separately.</t>
  </si>
  <si>
    <t xml:space="preserve">Total tax for the year</t>
  </si>
  <si>
    <t xml:space="preserve">Less: TDS / TCS</t>
  </si>
  <si>
    <t xml:space="preserve">Advance tax for the year</t>
  </si>
  <si>
    <t xml:space="preserve">Regime chosen</t>
  </si>
  <si>
    <t xml:space="preserve">Advance tax payable (regime chosen)</t>
  </si>
  <si>
    <t xml:space="preserve">Do you need to pay advance tax?</t>
  </si>
  <si>
    <t xml:space="preserve">Instalments and interest (Income-tax Act, 2025 – ss. 408, 424, 425)</t>
  </si>
  <si>
    <t xml:space="preserve">Due date</t>
  </si>
  <si>
    <t xml:space="preserve">Cumulative % due</t>
  </si>
  <si>
    <t xml:space="preserve">Cumulative due (₹)</t>
  </si>
  <si>
    <t xml:space="preserve">Paid (cum.)</t>
  </si>
  <si>
    <t xml:space="preserve">Shortfall</t>
  </si>
  <si>
    <t xml:space="preserve">Interest (s.425)</t>
  </si>
  <si>
    <t xml:space="preserve">Interest for deferment of instalments (old 234C)</t>
  </si>
  <si>
    <t xml:space="preserve">Month you expect to file the return / pay the balance</t>
  </si>
  <si>
    <t xml:space="preserve">Interest for default – if less than 90% paid by 31 March (old 234B)</t>
  </si>
  <si>
    <t xml:space="preserve">1% a month from April to the month of payment, on the unpaid amount.</t>
  </si>
  <si>
    <t xml:space="preserve">Total interest (estimate)</t>
  </si>
  <si>
    <t xml:space="preserve">Next payment due</t>
  </si>
  <si>
    <t xml:space="preserve">Upgrade to Advance Tax Calculator 2026-27 – Pro</t>
  </si>
  <si>
    <t xml:space="preserve">The Pro edition adds:</t>
  </si>
  <si>
    <t xml:space="preserve">✔  Quarterly Estimate – revise your full-year income at each instalment and see what to pay in that instalment on the estimate at the time</t>
  </si>
  <si>
    <t xml:space="preserve">✔  Challan Log – record BSR code, date, challan number and amount for every payment, checked against the total paid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</si>
  <si>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</si>
  <si>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</si>
  <si>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https://pblab.in/templates/advance-tax-calculator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</si>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</sst>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.0%;\(0.0%\);\-"/>
    <numFmt numFmtId="167" formatCode="0.0%"/>
    <numFmt numFmtId="168" formatCode="dd\-mmm\-yyyy"/>
    <numFmt numFmtId="169" formatCode="mmm\-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E2EFDA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808080"/>
      </top>
      <bottom/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pblab.in/templates/advance-tax-calculato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IF(Computation!$B$27="Yes","✔ Advance tax for 2026-27: ₹"&amp;TEXT(Computation!$B$26,"#,##0")&amp;" ("&amp;Inputs!$B$7&amp;" regime); next: "&amp;IF(ISNUMBER(Computation!B40),"₹"&amp;TEXT(Computation!C40,"#,##0")&amp;" by "&amp;TEXT(Computation!B40,"dd-mmm-yyyy"),"all instalments paid")&amp;"; interest if nothing more is paid ₹"&amp;TEXT(Computation!B39,"#,##0"),"✔ "&amp;Computation!$B$27)</f>
        <v>✔ Advance tax for 2026-27: ₹160,530 (New regime); next: ₹10,398 by 15-Dec-2026; interest if nothing more is paid ₹2,838</v>
      </c>
    </row>
    <row r="7" customFormat="false" ht="15" hidden="false" customHeight="true" outlineLevel="0" collapsed="false">
      <c r="B7" s="7" t="s">
        <v>5</v>
      </c>
    </row>
    <row r="8" customFormat="false" ht="69.7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1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27.75" hidden="false" customHeight="true" outlineLevel="0" collapsed="false">
      <c r="B22" s="9" t="s">
        <v>24</v>
      </c>
      <c r="C22" s="8" t="s">
        <v>25</v>
      </c>
    </row>
    <row r="23" customFormat="false" ht="27.75" hidden="false" customHeight="true" outlineLevel="0" collapsed="false">
      <c r="B23" s="9" t="s">
        <v>26</v>
      </c>
      <c r="C23" s="8" t="s">
        <v>27</v>
      </c>
    </row>
    <row r="24" customFormat="false" ht="42" hidden="false" customHeight="true" outlineLevel="0" collapsed="false">
      <c r="B24" s="9" t="s">
        <v>28</v>
      </c>
      <c r="C24" s="8" t="s">
        <v>29</v>
      </c>
    </row>
    <row r="25" customFormat="false" ht="15" hidden="false" customHeight="true" outlineLevel="0" collapsed="false">
      <c r="B25" s="9" t="s">
        <v>30</v>
      </c>
      <c r="C25" s="8" t="s">
        <v>31</v>
      </c>
    </row>
    <row r="27" customFormat="false" ht="15" hidden="false" customHeight="true" outlineLevel="0" collapsed="false">
      <c r="B27" s="7" t="s">
        <v>32</v>
      </c>
    </row>
    <row r="28" customFormat="false" ht="42" hidden="false" customHeight="true" outlineLevel="0" collapsed="false">
      <c r="B28" s="8"/>
      <c r="C28" s="8" t="s">
        <v>33</v>
      </c>
    </row>
    <row r="30" customFormat="false" ht="15" hidden="false" customHeight="true" outlineLevel="0" collapsed="false">
      <c r="B30" s="7" t="s">
        <v>34</v>
      </c>
    </row>
    <row r="31" customFormat="false" ht="27.75" hidden="false" customHeight="true" outlineLevel="0" collapsed="false">
      <c r="B31" s="9" t="s">
        <v>35</v>
      </c>
      <c r="C31" s="8" t="s">
        <v>36</v>
      </c>
    </row>
    <row r="32" customFormat="false" ht="27.75" hidden="false" customHeight="true" outlineLevel="0" collapsed="false">
      <c r="B32" s="9" t="s">
        <v>35</v>
      </c>
      <c r="C32" s="8" t="s">
        <v>37</v>
      </c>
    </row>
    <row r="33" customFormat="false" ht="15" hidden="false" customHeight="true" outlineLevel="0" collapsed="false">
      <c r="B33" s="9" t="s">
        <v>35</v>
      </c>
      <c r="C33" s="8" t="s">
        <v>38</v>
      </c>
    </row>
    <row r="35" customFormat="false" ht="15" hidden="false" customHeight="true" outlineLevel="0" collapsed="false">
      <c r="B35" s="7" t="s">
        <v>39</v>
      </c>
    </row>
    <row r="36" customFormat="false" ht="15" hidden="false" customHeight="true" outlineLevel="0" collapsed="false">
      <c r="B36" s="9" t="s">
        <v>40</v>
      </c>
      <c r="C36" s="8" t="s">
        <v>41</v>
      </c>
    </row>
    <row r="37" customFormat="false" ht="15" hidden="false" customHeight="true" outlineLevel="0" collapsed="false">
      <c r="B37" s="9" t="s">
        <v>42</v>
      </c>
      <c r="C37" s="8" t="s">
        <v>43</v>
      </c>
    </row>
    <row r="38" customFormat="false" ht="15" hidden="false" customHeight="true" outlineLevel="0" collapsed="false">
      <c r="B38" s="9" t="s">
        <v>44</v>
      </c>
      <c r="C38" s="8" t="s">
        <v>45</v>
      </c>
    </row>
    <row r="39" customFormat="false" ht="27.75" hidden="false" customHeight="true" outlineLevel="0" collapsed="false">
      <c r="B39" s="9" t="s">
        <v>46</v>
      </c>
      <c r="C39" s="8" t="s">
        <v>47</v>
      </c>
    </row>
    <row r="40" customFormat="false" ht="27.75" hidden="false" customHeight="true" outlineLevel="0" collapsed="false">
      <c r="B40" s="9" t="s">
        <v>48</v>
      </c>
      <c r="C40" s="8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D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6"/>
    <col collapsed="false" customWidth="true" hidden="false" outlineLevel="0" max="2" min="2" style="1" width="16"/>
    <col collapsed="false" customWidth="true" hidden="false" outlineLevel="0" max="3" min="3" style="1" width="3"/>
    <col collapsed="false" customWidth="true" hidden="false" outlineLevel="0" max="4" min="4" style="1" width="70"/>
  </cols>
  <sheetData>
    <row r="1" customFormat="false" ht="21.75" hidden="false" customHeight="true" outlineLevel="0" collapsed="false">
      <c r="A1" s="13" t="s">
        <v>50</v>
      </c>
      <c r="D1" s="14" t="s">
        <v>51</v>
      </c>
    </row>
    <row r="2" customFormat="false" ht="15" hidden="false" customHeight="true" outlineLevel="0" collapsed="false">
      <c r="A2" s="3" t="s">
        <v>52</v>
      </c>
    </row>
    <row r="4" customFormat="false" ht="15" hidden="false" customHeight="true" outlineLevel="0" collapsed="false">
      <c r="A4" s="15" t="s">
        <v>53</v>
      </c>
      <c r="B4" s="16"/>
      <c r="C4" s="16"/>
      <c r="D4" s="16"/>
    </row>
    <row r="5" customFormat="false" ht="15" hidden="false" customHeight="true" outlineLevel="0" collapsed="false">
      <c r="A5" s="17" t="s">
        <v>54</v>
      </c>
      <c r="B5" s="18" t="s">
        <v>55</v>
      </c>
    </row>
    <row r="6" customFormat="false" ht="15" hidden="false" customHeight="true" outlineLevel="0" collapsed="false">
      <c r="A6" s="17" t="s">
        <v>56</v>
      </c>
      <c r="B6" s="18" t="s">
        <v>57</v>
      </c>
      <c r="D6" s="3" t="s">
        <v>58</v>
      </c>
    </row>
    <row r="7" customFormat="false" ht="15" hidden="false" customHeight="true" outlineLevel="0" collapsed="false">
      <c r="A7" s="17" t="s">
        <v>59</v>
      </c>
      <c r="B7" s="18" t="s">
        <v>60</v>
      </c>
    </row>
    <row r="8" customFormat="false" ht="15" hidden="false" customHeight="true" outlineLevel="0" collapsed="false">
      <c r="A8" s="15" t="s">
        <v>61</v>
      </c>
      <c r="B8" s="16"/>
      <c r="C8" s="16"/>
      <c r="D8" s="16"/>
    </row>
    <row r="9" customFormat="false" ht="15" hidden="false" customHeight="true" outlineLevel="0" collapsed="false">
      <c r="A9" s="17" t="s">
        <v>62</v>
      </c>
      <c r="B9" s="19" t="n">
        <v>0</v>
      </c>
      <c r="D9" s="3" t="s">
        <v>63</v>
      </c>
    </row>
    <row r="10" customFormat="false" ht="15" hidden="false" customHeight="true" outlineLevel="0" collapsed="false">
      <c r="A10" s="17" t="s">
        <v>64</v>
      </c>
      <c r="B10" s="19" t="n">
        <v>180000</v>
      </c>
      <c r="D10" s="3" t="s">
        <v>65</v>
      </c>
    </row>
    <row r="11" customFormat="false" ht="15" hidden="false" customHeight="true" outlineLevel="0" collapsed="false">
      <c r="A11" s="17" t="s">
        <v>66</v>
      </c>
      <c r="B11" s="18" t="s">
        <v>67</v>
      </c>
    </row>
    <row r="12" customFormat="false" ht="15" hidden="false" customHeight="true" outlineLevel="0" collapsed="false">
      <c r="A12" s="17" t="s">
        <v>68</v>
      </c>
      <c r="B12" s="19" t="n">
        <v>0</v>
      </c>
      <c r="D12" s="3" t="s">
        <v>69</v>
      </c>
    </row>
    <row r="13" customFormat="false" ht="15" hidden="false" customHeight="true" outlineLevel="0" collapsed="false">
      <c r="A13" s="17" t="s">
        <v>70</v>
      </c>
      <c r="B13" s="19" t="n">
        <v>1600000</v>
      </c>
    </row>
    <row r="14" customFormat="false" ht="15" hidden="false" customHeight="true" outlineLevel="0" collapsed="false">
      <c r="A14" s="17" t="s">
        <v>71</v>
      </c>
      <c r="B14" s="19" t="n">
        <v>95000</v>
      </c>
    </row>
    <row r="15" customFormat="false" ht="15" hidden="false" customHeight="true" outlineLevel="0" collapsed="false">
      <c r="A15" s="17" t="s">
        <v>72</v>
      </c>
      <c r="B15" s="19" t="n">
        <v>60000</v>
      </c>
      <c r="D15" s="3" t="s">
        <v>73</v>
      </c>
    </row>
    <row r="16" customFormat="false" ht="15" hidden="false" customHeight="true" outlineLevel="0" collapsed="false">
      <c r="A16" s="17" t="s">
        <v>74</v>
      </c>
      <c r="B16" s="19" t="n">
        <v>210000</v>
      </c>
      <c r="D16" s="3" t="s">
        <v>75</v>
      </c>
    </row>
    <row r="17" customFormat="false" ht="15" hidden="false" customHeight="true" outlineLevel="0" collapsed="false">
      <c r="A17" s="17" t="s">
        <v>76</v>
      </c>
      <c r="B17" s="19" t="n">
        <v>0</v>
      </c>
      <c r="D17" s="3" t="s">
        <v>77</v>
      </c>
    </row>
    <row r="18" customFormat="false" ht="15" hidden="false" customHeight="true" outlineLevel="0" collapsed="false">
      <c r="A18" s="15" t="s">
        <v>78</v>
      </c>
      <c r="B18" s="16"/>
      <c r="C18" s="16"/>
      <c r="D18" s="16"/>
    </row>
    <row r="19" customFormat="false" ht="15" hidden="false" customHeight="true" outlineLevel="0" collapsed="false">
      <c r="A19" s="17" t="s">
        <v>79</v>
      </c>
      <c r="B19" s="19" t="n">
        <v>200000</v>
      </c>
      <c r="D19" s="3" t="s">
        <v>80</v>
      </c>
    </row>
    <row r="20" customFormat="false" ht="15" hidden="false" customHeight="true" outlineLevel="0" collapsed="false">
      <c r="A20" s="15" t="s">
        <v>81</v>
      </c>
      <c r="B20" s="16"/>
      <c r="C20" s="16"/>
      <c r="D20" s="16"/>
    </row>
    <row r="21" customFormat="false" ht="15" hidden="false" customHeight="true" outlineLevel="0" collapsed="false">
      <c r="A21" s="17" t="s">
        <v>82</v>
      </c>
      <c r="B21" s="19" t="n">
        <v>45000</v>
      </c>
      <c r="D21" s="3" t="s">
        <v>83</v>
      </c>
    </row>
    <row r="23" customFormat="false" ht="15" hidden="false" customHeight="true" outlineLevel="0" collapsed="false">
      <c r="A23" s="15" t="s">
        <v>84</v>
      </c>
      <c r="B23" s="16"/>
      <c r="C23" s="16"/>
      <c r="D23" s="16"/>
    </row>
    <row r="24" customFormat="false" ht="19.5" hidden="false" customHeight="true" outlineLevel="0" collapsed="false">
      <c r="A24" s="20" t="s">
        <v>85</v>
      </c>
      <c r="B24" s="21" t="s">
        <v>86</v>
      </c>
      <c r="C24" s="21"/>
      <c r="D24" s="21" t="s">
        <v>87</v>
      </c>
    </row>
    <row r="25" customFormat="false" ht="15" hidden="false" customHeight="true" outlineLevel="0" collapsed="false">
      <c r="A25" s="17" t="s">
        <v>88</v>
      </c>
      <c r="B25" s="19" t="n">
        <v>40000</v>
      </c>
      <c r="D25" s="3" t="s">
        <v>89</v>
      </c>
    </row>
    <row r="26" customFormat="false" ht="15" hidden="false" customHeight="true" outlineLevel="0" collapsed="false">
      <c r="A26" s="17" t="s">
        <v>90</v>
      </c>
      <c r="B26" s="19" t="n">
        <v>70000</v>
      </c>
    </row>
    <row r="27" customFormat="false" ht="15" hidden="false" customHeight="true" outlineLevel="0" collapsed="false">
      <c r="A27" s="17" t="s">
        <v>91</v>
      </c>
      <c r="B27" s="19"/>
    </row>
    <row r="28" customFormat="false" ht="15" hidden="false" customHeight="true" outlineLevel="0" collapsed="false">
      <c r="A28" s="17" t="s">
        <v>92</v>
      </c>
      <c r="B28" s="19"/>
    </row>
    <row r="30" customFormat="false" ht="15" hidden="false" customHeight="true" outlineLevel="0" collapsed="false">
      <c r="A30" s="15" t="s">
        <v>93</v>
      </c>
      <c r="B30" s="16"/>
      <c r="C30" s="16"/>
      <c r="D30" s="16"/>
    </row>
    <row r="31" customFormat="false" ht="15" hidden="false" customHeight="true" outlineLevel="0" collapsed="false">
      <c r="A31" s="17" t="s">
        <v>94</v>
      </c>
      <c r="B31" s="19" t="n">
        <v>75000</v>
      </c>
    </row>
    <row r="32" customFormat="false" ht="15" hidden="false" customHeight="true" outlineLevel="0" collapsed="false">
      <c r="A32" s="17" t="s">
        <v>95</v>
      </c>
      <c r="B32" s="19" t="n">
        <v>50000</v>
      </c>
    </row>
    <row r="33" customFormat="false" ht="15" hidden="false" customHeight="true" outlineLevel="0" collapsed="false">
      <c r="A33" s="17" t="s">
        <v>96</v>
      </c>
      <c r="B33" s="19" t="n">
        <v>1200000</v>
      </c>
      <c r="D33" s="3" t="s">
        <v>97</v>
      </c>
    </row>
    <row r="34" customFormat="false" ht="15" hidden="false" customHeight="true" outlineLevel="0" collapsed="false">
      <c r="A34" s="17" t="s">
        <v>98</v>
      </c>
      <c r="B34" s="19" t="n">
        <v>500000</v>
      </c>
    </row>
    <row r="35" customFormat="false" ht="15" hidden="false" customHeight="true" outlineLevel="0" collapsed="false">
      <c r="A35" s="17" t="s">
        <v>99</v>
      </c>
      <c r="B35" s="22" t="n">
        <v>0.2</v>
      </c>
    </row>
    <row r="36" customFormat="false" ht="15" hidden="false" customHeight="true" outlineLevel="0" collapsed="false">
      <c r="A36" s="17" t="s">
        <v>100</v>
      </c>
      <c r="B36" s="23" t="n">
        <v>0.125</v>
      </c>
    </row>
    <row r="37" customFormat="false" ht="15" hidden="false" customHeight="true" outlineLevel="0" collapsed="false">
      <c r="A37" s="17" t="s">
        <v>101</v>
      </c>
      <c r="B37" s="19" t="n">
        <v>125000</v>
      </c>
    </row>
    <row r="38" customFormat="false" ht="15" hidden="false" customHeight="true" outlineLevel="0" collapsed="false">
      <c r="A38" s="17" t="s">
        <v>102</v>
      </c>
      <c r="B38" s="22" t="n">
        <v>0.04</v>
      </c>
    </row>
  </sheetData>
  <dataValidations count="3">
    <dataValidation allowBlank="true" errorStyle="stop" operator="between" showDropDown="false" showErrorMessage="false" showInputMessage="false" sqref="B6" type="list">
      <formula1>"Below 60,60 to 79,80 and above"</formula1>
      <formula2>0</formula2>
    </dataValidation>
    <dataValidation allowBlank="true" errorStyle="stop" operator="between" showDropDown="false" showErrorMessage="false" showInputMessage="false" sqref="B7" type="list">
      <formula1>"New,Old"</formula1>
      <formula2>0</formula2>
    </dataValidation>
    <dataValidation allowBlank="true" errorStyle="stop" operator="between" showDropDown="false" showErrorMessage="false" showInputMessage="false" sqref="B11" type="list">
      <formula1>"Actual profit,Presumptive – 6% of digital receipts (old 44AD),Presumptive – 8% of cash receipts (old 44AD),Presumptive – 50% for professionals (old 44ADA)"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F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3" min="2" style="1" width="16"/>
    <col collapsed="false" customWidth="true" hidden="false" outlineLevel="0" max="5" min="4" style="1" width="14"/>
    <col collapsed="false" customWidth="true" hidden="false" outlineLevel="0" max="6" min="6" style="1" width="15"/>
  </cols>
  <sheetData>
    <row r="1" customFormat="false" ht="21.75" hidden="false" customHeight="true" outlineLevel="0" collapsed="false">
      <c r="A1" s="13" t="s">
        <v>103</v>
      </c>
      <c r="F1" s="14" t="s">
        <v>51</v>
      </c>
    </row>
    <row r="2" customFormat="false" ht="15" hidden="false" customHeight="true" outlineLevel="0" collapsed="false">
      <c r="A2" s="3" t="str">
        <f aca="false">Inputs!$B$5&amp;" – tax year 2026-27"</f>
        <v>Rakesh Agrawal – tax year 2026-27</v>
      </c>
    </row>
    <row r="4" customFormat="false" ht="21.75" hidden="false" customHeight="true" outlineLevel="0" collapsed="false">
      <c r="A4" s="20"/>
      <c r="B4" s="21" t="s">
        <v>104</v>
      </c>
      <c r="C4" s="21" t="s">
        <v>105</v>
      </c>
      <c r="D4" s="21" t="s">
        <v>23</v>
      </c>
      <c r="E4" s="21"/>
      <c r="F4" s="21"/>
    </row>
    <row r="5" customFormat="false" ht="15" hidden="false" customHeight="true" outlineLevel="0" collapsed="false">
      <c r="A5" s="17" t="s">
        <v>106</v>
      </c>
      <c r="B5" s="24" t="n">
        <f aca="false">MAX(0,Inputs!$B$9-IF(Inputs!$B$9&gt;0,Inputs!$B$31,0))</f>
        <v>0</v>
      </c>
      <c r="C5" s="24" t="n">
        <f aca="false">MAX(0,Inputs!$B$9-IF(Inputs!$B$9&gt;0,Inputs!$B$32,0))</f>
        <v>0</v>
      </c>
    </row>
    <row r="6" customFormat="false" ht="15" hidden="false" customHeight="true" outlineLevel="0" collapsed="false">
      <c r="A6" s="17" t="s">
        <v>107</v>
      </c>
      <c r="B6" s="24" t="n">
        <f aca="false">MAX(Inputs!$B$10,0)</f>
        <v>180000</v>
      </c>
      <c r="C6" s="24" t="n">
        <f aca="false">MAX(Inputs!$B$10,-200000)</f>
        <v>180000</v>
      </c>
      <c r="D6" s="25" t="s">
        <v>108</v>
      </c>
    </row>
    <row r="7" customFormat="false" ht="15" hidden="false" customHeight="true" outlineLevel="0" collapsed="false">
      <c r="A7" s="17" t="s">
        <v>66</v>
      </c>
      <c r="B7" s="24" t="n">
        <f aca="false">IF(Inputs!$B$11="Actual profit",Inputs!$B$13,ROUND(Inputs!$B$12*IF(LEFT(Inputs!$B$11,16)="Presumptive – 6%",0.06,IF(LEFT(Inputs!$B$11,16)="Presumptive – 8%",0.08,0.5)),0))</f>
        <v>1600000</v>
      </c>
      <c r="C7" s="24" t="n">
        <f aca="false">IF(Inputs!$B$11="Actual profit",Inputs!$B$13,ROUND(Inputs!$B$12*IF(LEFT(Inputs!$B$11,16)="Presumptive – 6%",0.06,IF(LEFT(Inputs!$B$11,16)="Presumptive – 8%",0.08,0.5)),0))</f>
        <v>1600000</v>
      </c>
    </row>
    <row r="8" customFormat="false" ht="15" hidden="false" customHeight="true" outlineLevel="0" collapsed="false">
      <c r="A8" s="17" t="s">
        <v>109</v>
      </c>
      <c r="B8" s="24" t="n">
        <f aca="false">Inputs!$B$14</f>
        <v>95000</v>
      </c>
      <c r="C8" s="24" t="n">
        <f aca="false">Inputs!$B$14</f>
        <v>95000</v>
      </c>
    </row>
    <row r="9" customFormat="false" ht="15" hidden="false" customHeight="true" outlineLevel="0" collapsed="false">
      <c r="A9" s="4" t="s">
        <v>110</v>
      </c>
      <c r="B9" s="26" t="n">
        <f aca="false">SUM(B5:B8)</f>
        <v>1875000</v>
      </c>
      <c r="C9" s="26" t="n">
        <f aca="false">SUM(C5:C8)</f>
        <v>1875000</v>
      </c>
    </row>
    <row r="10" customFormat="false" ht="15" hidden="false" customHeight="true" outlineLevel="0" collapsed="false">
      <c r="A10" s="17" t="s">
        <v>111</v>
      </c>
      <c r="B10" s="24" t="n">
        <f aca="false">0</f>
        <v>0</v>
      </c>
      <c r="C10" s="24" t="n">
        <f aca="false">MIN(Inputs!$B$19,C9)</f>
        <v>200000</v>
      </c>
    </row>
    <row r="11" customFormat="false" ht="15" hidden="false" customHeight="true" outlineLevel="0" collapsed="false">
      <c r="A11" s="4" t="s">
        <v>112</v>
      </c>
      <c r="B11" s="27" t="n">
        <f aca="false">MAX(0,ROUND(B9/10,0)*10)</f>
        <v>1875000</v>
      </c>
      <c r="C11" s="27" t="n">
        <f aca="false">MAX(0,ROUND((C9-C10)/10,0)*10)</f>
        <v>1675000</v>
      </c>
    </row>
    <row r="12" customFormat="false" ht="15" hidden="false" customHeight="true" outlineLevel="0" collapsed="false">
      <c r="A12" s="17" t="s">
        <v>113</v>
      </c>
      <c r="B12" s="24" t="n">
        <f aca="false">Inputs!$B$15</f>
        <v>60000</v>
      </c>
      <c r="C12" s="24" t="n">
        <f aca="false">Inputs!$B$15</f>
        <v>60000</v>
      </c>
    </row>
    <row r="13" customFormat="false" ht="15" hidden="false" customHeight="true" outlineLevel="0" collapsed="false">
      <c r="A13" s="17" t="s">
        <v>114</v>
      </c>
      <c r="B13" s="24" t="n">
        <f aca="false">MAX(0,Inputs!$B$16-Inputs!$B$37)</f>
        <v>85000</v>
      </c>
      <c r="C13" s="24" t="n">
        <f aca="false">MAX(0,Inputs!$B$16-Inputs!$B$37)</f>
        <v>85000</v>
      </c>
    </row>
    <row r="14" customFormat="false" ht="15" hidden="false" customHeight="true" outlineLevel="0" collapsed="false">
      <c r="A14" s="17" t="s">
        <v>115</v>
      </c>
      <c r="B14" s="24" t="n">
        <f aca="false">Inputs!$B$17</f>
        <v>0</v>
      </c>
      <c r="C14" s="24" t="n">
        <f aca="false">Inputs!$B$17</f>
        <v>0</v>
      </c>
    </row>
    <row r="15" customFormat="false" ht="15" hidden="false" customHeight="true" outlineLevel="0" collapsed="false">
      <c r="A15" s="4" t="s">
        <v>116</v>
      </c>
      <c r="B15" s="28" t="n">
        <f aca="false">B11+B12+B13+B14+MIN(Inputs!$B$16,Inputs!$B$37)</f>
        <v>2145000</v>
      </c>
      <c r="C15" s="28" t="n">
        <f aca="false">C11+C12+C13+C14+MIN(Inputs!$B$16,Inputs!$B$37)</f>
        <v>1945000</v>
      </c>
    </row>
    <row r="16" customFormat="false" ht="15" hidden="false" customHeight="true" outlineLevel="0" collapsed="false">
      <c r="A16" s="17" t="s">
        <v>117</v>
      </c>
      <c r="B16" s="24" t="n">
        <f aca="false">ROUND(MAX(0,MIN(B11,800000)-400000)*0.05+MAX(0,MIN(B11,1200000)-800000)*0.1+MAX(0,MIN(B11,1600000)-1200000)*0.15+MAX(0,MIN(B11,2000000)-1600000)*0.2+MAX(0,MIN(B11,2400000)-2000000)*0.25+MAX(0,B11-2400000)*0.3,0)</f>
        <v>175000</v>
      </c>
      <c r="C16" s="24" t="n">
        <f aca="false">ROUND(MAX(0,MIN(C11,500000)-IF(Inputs!$B$6="80 and above",500000,IF(Inputs!$B$6="60 to 79",300000,250000)))*0.05+MAX(0,MIN(C11,1000000)-MAX(500000,IF(Inputs!$B$6="80 and above",500000,IF(Inputs!$B$6="60 to 79",300000,250000))))*0.2+MAX(0,C11-1000000)*0.3,0)</f>
        <v>315000</v>
      </c>
    </row>
    <row r="17" customFormat="false" ht="15" hidden="false" customHeight="true" outlineLevel="0" collapsed="false">
      <c r="A17" s="17" t="s">
        <v>118</v>
      </c>
      <c r="B17" s="24" t="n">
        <f aca="false">IF(B11&lt;=Inputs!$B$33,B16,MAX(0,B16-(B11-Inputs!$B$33)))</f>
        <v>0</v>
      </c>
      <c r="C17" s="24" t="n">
        <f aca="false">IF(C11&lt;=Inputs!$B$34,MIN(C16,12500),0)</f>
        <v>0</v>
      </c>
      <c r="D17" s="25" t="s">
        <v>119</v>
      </c>
    </row>
    <row r="18" customFormat="false" ht="15" hidden="false" customHeight="true" outlineLevel="0" collapsed="false">
      <c r="A18" s="17" t="s">
        <v>120</v>
      </c>
      <c r="B18" s="24" t="n">
        <f aca="false">ROUND(B12*Inputs!$B$35+(B13+B14)*Inputs!$B$36,0)</f>
        <v>22625</v>
      </c>
      <c r="C18" s="24" t="n">
        <f aca="false">ROUND(C12*Inputs!$B$35+(C13+C14)*Inputs!$B$36,0)</f>
        <v>22625</v>
      </c>
      <c r="D18" s="25" t="s">
        <v>121</v>
      </c>
    </row>
    <row r="19" customFormat="false" ht="15" hidden="false" customHeight="true" outlineLevel="0" collapsed="false">
      <c r="A19" s="17" t="s">
        <v>122</v>
      </c>
      <c r="B19" s="24" t="n">
        <f aca="false">B16-B17+B18</f>
        <v>197625</v>
      </c>
      <c r="C19" s="24" t="n">
        <f aca="false">C16-C17+C18</f>
        <v>337625</v>
      </c>
    </row>
    <row r="20" customFormat="false" ht="15" hidden="false" customHeight="true" outlineLevel="0" collapsed="false">
      <c r="A20" s="17" t="s">
        <v>123</v>
      </c>
      <c r="B20" s="24" t="n">
        <f aca="false">ROUND(B19*Inputs!$B$38,0)</f>
        <v>7905</v>
      </c>
      <c r="C20" s="24" t="n">
        <f aca="false">ROUND(C19*Inputs!$B$38,0)</f>
        <v>13505</v>
      </c>
      <c r="D20" s="25" t="s">
        <v>124</v>
      </c>
    </row>
    <row r="21" customFormat="false" ht="15" hidden="false" customHeight="true" outlineLevel="0" collapsed="false">
      <c r="A21" s="4" t="s">
        <v>125</v>
      </c>
      <c r="B21" s="29" t="n">
        <f aca="false">B19+B20</f>
        <v>205530</v>
      </c>
      <c r="C21" s="29" t="n">
        <f aca="false">C19+C20</f>
        <v>351130</v>
      </c>
    </row>
    <row r="22" customFormat="false" ht="15" hidden="false" customHeight="true" outlineLevel="0" collapsed="false">
      <c r="A22" s="17" t="s">
        <v>126</v>
      </c>
      <c r="B22" s="24" t="n">
        <f aca="false">Inputs!$B$21</f>
        <v>45000</v>
      </c>
      <c r="C22" s="24" t="n">
        <f aca="false">Inputs!$B$21</f>
        <v>45000</v>
      </c>
    </row>
    <row r="23" customFormat="false" ht="15" hidden="false" customHeight="true" outlineLevel="0" collapsed="false">
      <c r="A23" s="4" t="s">
        <v>127</v>
      </c>
      <c r="B23" s="27" t="n">
        <f aca="false">MAX(0,B21-B22)</f>
        <v>160530</v>
      </c>
      <c r="C23" s="27" t="n">
        <f aca="false">MAX(0,C21-C22)</f>
        <v>306130</v>
      </c>
    </row>
    <row r="25" customFormat="false" ht="15" hidden="false" customHeight="true" outlineLevel="0" collapsed="false">
      <c r="A25" s="4" t="s">
        <v>128</v>
      </c>
      <c r="B25" s="6" t="str">
        <f aca="false">Inputs!$B$7</f>
        <v>New</v>
      </c>
      <c r="C25" s="3" t="str">
        <f aca="false">IF(B21&lt;C21,"New regime is lower by ₹"&amp;TEXT(C21-B21,"#,##0"),IF(C21&lt;B21,"Old regime is lower by ₹"&amp;TEXT(B21-C21,"#,##0"),"Same"))</f>
        <v>New regime is lower by ₹145,600</v>
      </c>
    </row>
    <row r="26" customFormat="false" ht="15" hidden="false" customHeight="true" outlineLevel="0" collapsed="false">
      <c r="A26" s="4" t="s">
        <v>129</v>
      </c>
      <c r="B26" s="27" t="n">
        <f aca="false">IF(Inputs!$B$7="New",B23,C23)</f>
        <v>160530</v>
      </c>
    </row>
    <row r="27" customFormat="false" ht="15" hidden="false" customHeight="true" outlineLevel="0" collapsed="false">
      <c r="A27" s="4" t="s">
        <v>130</v>
      </c>
      <c r="B27" s="4" t="str">
        <f aca="false">IF(AND(Inputs!$B$6&lt;&gt;"Below 60",AND(Inputs!$B$11="Actual profit",N(Inputs!$B$13)=0)),"No – resident senior without business income",IF(Computation!$B$26&lt;10000,"No – under ₹10,000","Yes"))</f>
        <v>Yes</v>
      </c>
    </row>
    <row r="29" customFormat="false" ht="15" hidden="false" customHeight="true" outlineLevel="0" collapsed="false">
      <c r="A29" s="15" t="s">
        <v>131</v>
      </c>
      <c r="B29" s="16"/>
      <c r="C29" s="16"/>
      <c r="D29" s="16"/>
      <c r="E29" s="16"/>
      <c r="F29" s="16"/>
    </row>
    <row r="30" customFormat="false" ht="30" hidden="false" customHeight="true" outlineLevel="0" collapsed="false">
      <c r="A30" s="20" t="s">
        <v>132</v>
      </c>
      <c r="B30" s="21" t="s">
        <v>133</v>
      </c>
      <c r="C30" s="21" t="s">
        <v>134</v>
      </c>
      <c r="D30" s="21" t="s">
        <v>135</v>
      </c>
      <c r="E30" s="21" t="s">
        <v>136</v>
      </c>
      <c r="F30" s="21" t="s">
        <v>137</v>
      </c>
    </row>
    <row r="31" customFormat="false" ht="15" hidden="false" customHeight="true" outlineLevel="0" collapsed="false">
      <c r="A31" s="30" t="n">
        <f aca="false">DATE(2026,6,15)</f>
        <v>46188</v>
      </c>
      <c r="B31" s="31" t="n">
        <f aca="false">IF(LEFT(Inputs!$B$11,11)="Presumptive",0,0.15)</f>
        <v>0.15</v>
      </c>
      <c r="C31" s="27" t="n">
        <f aca="false">IF(Computation!$B$27&lt;&gt;"Yes",0,ROUND(Computation!$B$26*B31,0))</f>
        <v>24080</v>
      </c>
      <c r="D31" s="32" t="n">
        <f aca="false">Inputs!$B$25</f>
        <v>40000</v>
      </c>
      <c r="E31" s="24" t="n">
        <f aca="false">MAX(0,C31-D31)</f>
        <v>0</v>
      </c>
      <c r="F31" s="24" t="n">
        <f aca="false">IF(Computation!$B$27&lt;&gt;"Yes",0,IF(IF(LEFT(Inputs!$B$11,11)="Presumptive",0,IF(D31&gt;=Computation!$B$26*0.12,1,0))=1,0,ROUND(E31*0.01*3,0)))</f>
        <v>0</v>
      </c>
    </row>
    <row r="32" customFormat="false" ht="15" hidden="false" customHeight="true" outlineLevel="0" collapsed="false">
      <c r="A32" s="30" t="n">
        <f aca="false">DATE(2026,9,15)</f>
        <v>46280</v>
      </c>
      <c r="B32" s="31" t="n">
        <f aca="false">IF(LEFT(Inputs!$B$11,11)="Presumptive",0,0.45)</f>
        <v>0.45</v>
      </c>
      <c r="C32" s="27" t="n">
        <f aca="false">IF(Computation!$B$27&lt;&gt;"Yes",0,ROUND(Computation!$B$26*B32,0))</f>
        <v>72239</v>
      </c>
      <c r="D32" s="32" t="n">
        <f aca="false">Inputs!$B$25+Inputs!$B$26</f>
        <v>110000</v>
      </c>
      <c r="E32" s="24" t="n">
        <f aca="false">MAX(0,C32-D32)</f>
        <v>0</v>
      </c>
      <c r="F32" s="24" t="n">
        <f aca="false">IF(Computation!$B$27&lt;&gt;"Yes",0,IF(IF(LEFT(Inputs!$B$11,11)="Presumptive",0,IF(D32&gt;=Computation!$B$26*0.36,1,0))=1,0,ROUND(E32*0.01*3,0)))</f>
        <v>0</v>
      </c>
    </row>
    <row r="33" customFormat="false" ht="15" hidden="false" customHeight="true" outlineLevel="0" collapsed="false">
      <c r="A33" s="30" t="n">
        <f aca="false">DATE(2026,12,15)</f>
        <v>46371</v>
      </c>
      <c r="B33" s="31" t="n">
        <f aca="false">IF(LEFT(Inputs!$B$11,11)="Presumptive",0,0.75)</f>
        <v>0.75</v>
      </c>
      <c r="C33" s="27" t="n">
        <f aca="false">IF(Computation!$B$27&lt;&gt;"Yes",0,ROUND(Computation!$B$26*B33,0))</f>
        <v>120398</v>
      </c>
      <c r="D33" s="32" t="n">
        <f aca="false">Inputs!$B$25+Inputs!$B$26+Inputs!$B$27</f>
        <v>110000</v>
      </c>
      <c r="E33" s="24" t="n">
        <f aca="false">MAX(0,C33-D33)</f>
        <v>10398</v>
      </c>
      <c r="F33" s="24" t="n">
        <f aca="false">IF(Computation!$B$27&lt;&gt;"Yes",0,IF(0=1,0,ROUND(E33*0.01*3,0)))</f>
        <v>312</v>
      </c>
    </row>
    <row r="34" customFormat="false" ht="15" hidden="false" customHeight="true" outlineLevel="0" collapsed="false">
      <c r="A34" s="30" t="n">
        <f aca="false">DATE(2027,3,15)</f>
        <v>46461</v>
      </c>
      <c r="B34" s="31" t="n">
        <f aca="false">IF(LEFT(Inputs!$B$11,11)="Presumptive",1,1)</f>
        <v>1</v>
      </c>
      <c r="C34" s="27" t="n">
        <f aca="false">IF(Computation!$B$27&lt;&gt;"Yes",0,ROUND(Computation!$B$26*B34,0))</f>
        <v>160530</v>
      </c>
      <c r="D34" s="32" t="n">
        <f aca="false">Inputs!$B$25+Inputs!$B$26+Inputs!$B$27+Inputs!$B$28</f>
        <v>110000</v>
      </c>
      <c r="E34" s="24" t="n">
        <f aca="false">MAX(0,C34-D34)</f>
        <v>50530</v>
      </c>
      <c r="F34" s="24" t="n">
        <f aca="false">IF(Computation!$B$27&lt;&gt;"Yes",0,IF(0=1,0,ROUND(E34*0.01*1,0)))</f>
        <v>505</v>
      </c>
    </row>
    <row r="36" customFormat="false" ht="15" hidden="false" customHeight="true" outlineLevel="0" collapsed="false">
      <c r="A36" s="17" t="s">
        <v>138</v>
      </c>
      <c r="B36" s="27" t="n">
        <f aca="false">SUM(F31:F34)</f>
        <v>817</v>
      </c>
    </row>
    <row r="37" customFormat="false" ht="15" hidden="false" customHeight="true" outlineLevel="0" collapsed="false">
      <c r="A37" s="17" t="s">
        <v>139</v>
      </c>
      <c r="B37" s="33" t="n">
        <v>46599</v>
      </c>
    </row>
    <row r="38" customFormat="false" ht="15" hidden="false" customHeight="true" outlineLevel="0" collapsed="false">
      <c r="A38" s="17" t="s">
        <v>140</v>
      </c>
      <c r="B38" s="27" t="n">
        <f aca="false">IF(D34&gt;=0.9*Computation!$B$26,0,ROUND((Computation!$B$26-D34)*0.01*((YEAR(B37)-2027)*12+MONTH(B37)-3),0))</f>
        <v>2021</v>
      </c>
      <c r="D38" s="3" t="s">
        <v>141</v>
      </c>
    </row>
    <row r="39" customFormat="false" ht="15" hidden="false" customHeight="true" outlineLevel="0" collapsed="false">
      <c r="A39" s="4" t="s">
        <v>142</v>
      </c>
      <c r="B39" s="34" t="n">
        <f aca="false">B36+B38</f>
        <v>2838</v>
      </c>
    </row>
    <row r="40" customFormat="false" ht="15" hidden="false" customHeight="true" outlineLevel="0" collapsed="false">
      <c r="A40" s="4" t="s">
        <v>143</v>
      </c>
      <c r="B40" s="35" t="n">
        <f aca="false">IFERROR(INDEX(A31:A34,MATCH(TRUE(),INDEX(E31:E34&gt;0,0),0)),"All paid")</f>
        <v>46371</v>
      </c>
      <c r="C40" s="27" t="n">
        <f aca="false">IFERROR(INDEX(E31:E34,MATCH(TRUE(),INDEX(E31:E34&gt;0,0),0)),0)</f>
        <v>10398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6" t="s">
        <v>144</v>
      </c>
    </row>
    <row r="4" customFormat="false" ht="15" hidden="false" customHeight="false" outlineLevel="0" collapsed="false">
      <c r="B4" s="37" t="s">
        <v>145</v>
      </c>
    </row>
    <row r="5" customFormat="false" ht="23.85" hidden="false" customHeight="false" outlineLevel="0" collapsed="false">
      <c r="B5" s="38" t="s">
        <v>146</v>
      </c>
    </row>
    <row r="6" customFormat="false" ht="15" hidden="false" customHeight="false" outlineLevel="0" collapsed="false">
      <c r="B6" s="38" t="s">
        <v>147</v>
      </c>
    </row>
    <row r="7" customFormat="false" ht="15" hidden="false" customHeight="false" outlineLevel="0" collapsed="false">
      <c r="B7" s="38" t="s">
        <v>148</v>
      </c>
    </row>
    <row r="9" customFormat="false" ht="15" hidden="false" customHeight="false" outlineLevel="0" collapsed="false">
      <c r="B9" s="37" t="s">
        <v>149</v>
      </c>
    </row>
    <row r="10" customFormat="false" ht="15" hidden="false" customHeight="false" outlineLevel="0" collapsed="false">
      <c r="B10" s="39" t="s">
        <v>150</v>
      </c>
    </row>
    <row r="12" customFormat="false" ht="15" hidden="false" customHeight="false" outlineLevel="0" collapsed="false">
      <c r="B12" s="40" t="s">
        <v>151</v>
      </c>
    </row>
  </sheetData>
  <hyperlinks>
    <hyperlink ref="B10" r:id="rId1" display="Get it at https://pblab.in/templates/advance-tax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2026-10-13T16:42:37Z</dcterms:created>
  <dc:creator>PB Lab</dc:creator>
  <dc:description/>
  <cp:keywords>PB Lab pblab.in Excel template India</cp:keywords>
  <dc:language>en-US</dc:language>
  <cp:lastModifiedBy/>
  <dcterms:modified xsi:type="dcterms:W3CDTF">2026-10-13T16:42:39Z</dcterms:modified>
  <cp:revision>0</cp:revision>
  <dc:subject>Estimate advance tax for tax year 2026-27 under the Income-tax Act, 2025: income from salary, house property, business (including presumptive), capital gains and other sources, both regimes, TDS credit, the four instalments and interest for shortfalls.</dc:subject>
  <dc:title>Advance Tax Calculator 2026-27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