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Transactions" sheetId="2" state="visible" r:id="rId4"/>
    <sheet name="Summary" sheetId="3" state="visible" r:id="rId5"/>
    <sheet name="Lists" sheetId="4" state="visible" r:id="rId6"/>
    <sheet name="Get Pro" sheetId="5" state="visible" r:id="rId7"/>
  </sheets>
  <definedNames>
    <definedName function="false" hidden="true" localSheetId="1" name="_xlnm._FilterDatabase" vbProcedure="false">Transactions!$A$4:$Q$204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<sst xmlns="http://schemas.openxmlformats.org/spreadsheetml/2006/main" count="191" uniqueCount="176">
  <si>
    <t xml:space="preserve">Capital Gains Calculator 2026-27</t>
  </si>
  <si>
    <t xml:space="preserve">Work out short-term and long-term capital gains for tax year 2026-27: holding period, grandfathering for shares bought before 1 February 2018, indexation for property bought before 23 July 2024, set-off of losses, the ₹1.25 lakh exemption and tax at special rates.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</si>
  <si>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</si>
  <si>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</si>
  <si>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</si>
  <si>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</si>
  <si>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Works out capital gains for tax year 2026-27 (April 2026 – March 2027). List each sale with the asset type, dates, sale value, expenses and cost; the calculator decides whether it is short-term or long-term, applies grandfathering (shares bought before 1 February 2018) and indexation (land or building bought before 23 July 2024), sets off losses in the right order, applies the ₹1.25 lakh exemption and estimates the tax.</t>
  </si>
  <si>
    <t xml:space="preserve">How to use</t>
  </si>
  <si>
    <t xml:space="preserve">1. Transactions</t>
  </si>
  <si>
    <t xml:space="preserve">One row per sale: type from the dropdown, purchase and sale dates, sale value, transfer expenses, cost, improvement and FMV where relevant.</t>
  </si>
  <si>
    <t xml:space="preserve">2. Summary</t>
  </si>
  <si>
    <t xml:space="preserve">See gains by tax bucket, set-off of losses, the 112A exemption, tax at each rate and losses to carry forward.</t>
  </si>
  <si>
    <t xml:space="preserve">3. Lists</t>
  </si>
  <si>
    <t xml:space="preserve">Cost Inflation Index table. Add next year's index when CBDT notifies it.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</si>
  <si>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</si>
  <si>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</si>
  <si>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</si>
  <si>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</si>
  <si>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</si>
  <si>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</si>
  <si>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</si>
  <si>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</si>
  <si>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</si>
  <si>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</si>
  <si>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Holding period</t>
  </si>
  <si>
    <t xml:space="preserve">Listed shares, equity funds and listed securities: long-term after 12 months. Others: after 24 months. Debt funds bought on or after 1 April 2023: always short-term at slab rates.</t>
  </si>
  <si>
    <t xml:space="preserve">Rates</t>
  </si>
  <si>
    <t xml:space="preserve">Short-term listed equity (STT paid): 20%. Long-term: 12.5% (no indexation), with ₹1.25 lakh a year exempt on listed equity. Land or building bought before 23 July 2024: lower of 12.5% without and 20% with indexation.</t>
  </si>
  <si>
    <t xml:space="preserve">Set-off</t>
  </si>
  <si>
    <t xml:space="preserve">Short-term losses can be set off against any capital gain; long-term losses only against long-term gains. Unused losses carry forward for 8 years if the return is filed on time.</t>
  </si>
  <si>
    <t xml:space="preserve">Not covered</t>
  </si>
  <si>
    <t xml:space="preserve">Surcharge, brought-forward losses, the basic-exemption adjustment, slump sales, buy-backs, and non-resident rules. Confirm with your CA.</t>
  </si>
  <si>
    <t xml:space="preserve">Assumptions in the sample data</t>
  </si>
  <si>
    <t xml:space="preserve">Ten sales by a salaried investor in 2026-27: shares (one lot bought before 2018), an index fund, a flat in Pune bought in 2012, gold coins, two debt funds, unlisted ESOP shares at a loss and listed bonds.</t>
  </si>
  <si>
    <t xml:space="preserve">Pro edition includes</t>
  </si>
  <si>
    <t xml:space="preserve">✔</t>
  </si>
  <si>
    <t xml:space="preserve">Exemption Planner – old ss. 54, 54EC and 54F: exemption, tax saved, investment needed and every deadline from the sale date</t>
  </si>
  <si>
    <t xml:space="preserve">LTCG Harvesting – how many units of each long-term holding to sell to use the ₹1.25 lakh exemption before 31 March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</si>
  <si>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</si>
  <si>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</si>
  <si>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</si>
  <si>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</si>
  <si>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</si>
  <si>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</si>
  <si>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</si>
  <si>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</si>
  <si>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</si>
  <si>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</si>
  <si>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</si>
  <si>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</si>
  <si>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Capital asset sales – tax year 2026-27</t>
  </si>
  <si>
    <t xml:space="preserve">PB Lab · pblab.in/templates</t>
  </si>
  <si>
    <t xml:space="preserve">Blue columns are inputs (one row per sale). Black columns work out the term, cost, gain and tax bucket.</t>
  </si>
  <si>
    <t xml:space="preserve">Asset / description</t>
  </si>
  <si>
    <t xml:space="preserve">Asset type</t>
  </si>
  <si>
    <t xml:space="preserve">Bought on</t>
  </si>
  <si>
    <t xml:space="preserve">Sold on</t>
  </si>
  <si>
    <t xml:space="preserve">Sale value (₹)</t>
  </si>
  <si>
    <t xml:space="preserve">Transfer expenses</t>
  </si>
  <si>
    <t xml:space="preserve">Cost of acquisition</t>
  </si>
  <si>
    <t xml:space="preserve">Cost of improvement</t>
  </si>
  <si>
    <t xml:space="preserve">FMV – 31-Jan-2018 (equity) or 1-Apr-2001</t>
  </si>
  <si>
    <t xml:space="preserve">Held (months)</t>
  </si>
  <si>
    <t xml:space="preserve">Term</t>
  </si>
  <si>
    <t xml:space="preserve">Cost used</t>
  </si>
  <si>
    <t xml:space="preserve">Gain without indexation</t>
  </si>
  <si>
    <t xml:space="preserve">Indexed cost (property)</t>
  </si>
  <si>
    <t xml:space="preserve">Gain with indexation</t>
  </si>
  <si>
    <t xml:space="preserve">Tax bucket</t>
  </si>
  <si>
    <t xml:space="preserve">Taxable gain / (loss)</t>
  </si>
  <si>
    <t xml:space="preserve">Infosys shares (bonus lot)</t>
  </si>
  <si>
    <t xml:space="preserve">Listed shares / equity MF (STT paid)</t>
  </si>
  <si>
    <t xml:space="preserve">Nifty 50 index fund</t>
  </si>
  <si>
    <t xml:space="preserve">Tata Motors shares</t>
  </si>
  <si>
    <t xml:space="preserve">Small-cap shares</t>
  </si>
  <si>
    <t xml:space="preserve">Flat, Baner, Pune</t>
  </si>
  <si>
    <t xml:space="preserve">Land / building</t>
  </si>
  <si>
    <t xml:space="preserve">Gold coins</t>
  </si>
  <si>
    <t xml:space="preserve">Gold / jewellery / other assets</t>
  </si>
  <si>
    <t xml:space="preserve">Corporate bond fund (debt MF)</t>
  </si>
  <si>
    <t xml:space="preserve">Debt MF – bought on or after 1-Apr-2023</t>
  </si>
  <si>
    <t xml:space="preserve">Banking &amp; PSU debt fund</t>
  </si>
  <si>
    <t xml:space="preserve">Debt MF – bought before 1-Apr-2023</t>
  </si>
  <si>
    <t xml:space="preserve">Unlisted startup shares (ESOP)</t>
  </si>
  <si>
    <t xml:space="preserve">Unlisted shares</t>
  </si>
  <si>
    <t xml:space="preserve">NHAI listed bonds</t>
  </si>
  <si>
    <t xml:space="preserve">Other listed security (bonds, ETFs)</t>
  </si>
  <si>
    <t xml:space="preserve">Term: listed shares, equity funds and listed securities are long-term after 12 months; others after 24 months. Debt funds bought on or after 1-Apr-2023 are always short-term. Indexation applies only to land or building bought before 23-Jul-2024 (resident individuals/HUFs): the tax is the lower of 12.5% without and 20% with indexation.</t>
  </si>
  <si>
    <t xml:space="preserve">Capital gains summary and tax – 2026-27</t>
  </si>
  <si>
    <t xml:space="preserve">Gains are netted within each bucket, then losses are set off: short-term losses against any gain, long-term losses only against long-term gains.</t>
  </si>
  <si>
    <t xml:space="preserve">Settings</t>
  </si>
  <si>
    <t xml:space="preserve">Tax year from</t>
  </si>
  <si>
    <t xml:space="preserve">Tax year to</t>
  </si>
  <si>
    <t xml:space="preserve">Your slab rate for short-term gains taxed at normal rates</t>
  </si>
  <si>
    <t xml:space="preserve">Gains in the 'ST slab' bucket are added to your other income; enter your top marginal rate.</t>
  </si>
  <si>
    <t xml:space="preserve">Exemption on long-term gains from listed equity (112A)</t>
  </si>
  <si>
    <t xml:space="preserve">Cess</t>
  </si>
  <si>
    <t xml:space="preserve">Surcharge is not included.</t>
  </si>
  <si>
    <t xml:space="preserve">Bucket</t>
  </si>
  <si>
    <t xml:space="preserve">Gains</t>
  </si>
  <si>
    <t xml:space="preserve">Losses</t>
  </si>
  <si>
    <t xml:space="preserve">Net in bucket</t>
  </si>
  <si>
    <t xml:space="preserve">LT loss set off</t>
  </si>
  <si>
    <t xml:space="preserve">ST loss set off</t>
  </si>
  <si>
    <t xml:space="preserve">After set-off</t>
  </si>
  <si>
    <t xml:space="preserve">Exemption</t>
  </si>
  <si>
    <t xml:space="preserve">Taxable</t>
  </si>
  <si>
    <t xml:space="preserve">Rate</t>
  </si>
  <si>
    <t xml:space="preserve">Tax</t>
  </si>
  <si>
    <t xml:space="preserve">Short-term – taxed at slab rate</t>
  </si>
  <si>
    <t xml:space="preserve">ST slab</t>
  </si>
  <si>
    <t xml:space="preserve">Short-term – listed equity (20%)</t>
  </si>
  <si>
    <t xml:space="preserve">ST 20%</t>
  </si>
  <si>
    <t xml:space="preserve">Long-term – property with indexation (20%)</t>
  </si>
  <si>
    <t xml:space="preserve">LT 20% indexed</t>
  </si>
  <si>
    <t xml:space="preserve">Long-term – other assets (12.5%)</t>
  </si>
  <si>
    <t xml:space="preserve">LT 12.5%</t>
  </si>
  <si>
    <t xml:space="preserve">Long-term – listed equity (12.5%, 112A)</t>
  </si>
  <si>
    <t xml:space="preserve">LT 112A</t>
  </si>
  <si>
    <t xml:space="preserve">Total</t>
  </si>
  <si>
    <t xml:space="preserve">Short-term losses available for set-off</t>
  </si>
  <si>
    <t xml:space="preserve">Long-term losses available for set-off</t>
  </si>
  <si>
    <t xml:space="preserve">Tax on capital gains</t>
  </si>
  <si>
    <t xml:space="preserve">Tax at special rates (20% / 12.5%)</t>
  </si>
  <si>
    <t xml:space="preserve">Tax on short-term gains at your slab rate (approx.)</t>
  </si>
  <si>
    <t xml:space="preserve">Add: cess</t>
  </si>
  <si>
    <t xml:space="preserve">Total tax on capital gains (estimate)</t>
  </si>
  <si>
    <t xml:space="preserve">Losses to carry forward (8 years – file the return on time)</t>
  </si>
  <si>
    <t xml:space="preserve">Short-term loss carried forward</t>
  </si>
  <si>
    <t xml:space="preserve">Long-term loss carried forward</t>
  </si>
  <si>
    <t xml:space="preserve">Checks</t>
  </si>
  <si>
    <t xml:space="preserve">Sales entered</t>
  </si>
  <si>
    <t xml:space="preserve">Rows with missing type or dates</t>
  </si>
  <si>
    <t xml:space="preserve">Sales dated outside the tax year (ignored)</t>
  </si>
  <si>
    <t xml:space="preserve">Not covered: surcharge, set-off of brought-forward losses, the basic-exemption adjustment for residents with low other income, slump sales, buy-backs and non-resident rules. Confirm with your CA before filing.</t>
  </si>
  <si>
    <t xml:space="preserve">Short-term losses are applied first to slab-rate gains, then 20% gains, then long-term gains – the order that usually saves most tax.</t>
  </si>
  <si>
    <t xml:space="preserve">Cost Inflation Index and lists</t>
  </si>
  <si>
    <t xml:space="preserve">CII notified by CBDT (base year 2001-02 = 100). Add next year's index when notified.</t>
  </si>
  <si>
    <t xml:space="preserve">Financial year</t>
  </si>
  <si>
    <t xml:space="preserve">Start year</t>
  </si>
  <si>
    <t xml:space="preserve">CII</t>
  </si>
  <si>
    <t xml:space="preserve">Asset types</t>
  </si>
  <si>
    <t xml:space="preserve">2001-02</t>
  </si>
  <si>
    <t xml:space="preserve">2002-03</t>
  </si>
  <si>
    <t xml:space="preserve">2003-04</t>
  </si>
  <si>
    <t xml:space="preserve">2004-05</t>
  </si>
  <si>
    <t xml:space="preserve">2005-06</t>
  </si>
  <si>
    <t xml:space="preserve">2006-07</t>
  </si>
  <si>
    <t xml:space="preserve">2007-08</t>
  </si>
  <si>
    <t xml:space="preserve">2008-09</t>
  </si>
  <si>
    <t xml:space="preserve">2009-10</t>
  </si>
  <si>
    <t xml:space="preserve">2010-11</t>
  </si>
  <si>
    <t xml:space="preserve">2011-12</t>
  </si>
  <si>
    <t xml:space="preserve">2012-13</t>
  </si>
  <si>
    <t xml:space="preserve">2013-14</t>
  </si>
  <si>
    <t xml:space="preserve">2014-15</t>
  </si>
  <si>
    <t xml:space="preserve">2015-16</t>
  </si>
  <si>
    <t xml:space="preserve">2016-17</t>
  </si>
  <si>
    <t xml:space="preserve">2017-18</t>
  </si>
  <si>
    <t xml:space="preserve">2018-19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</si>
  <si>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</si>
  <si>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</si>
  <si>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</si>
  <si>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</si>
  <si>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</si>
  <si>
    <t xml:space="preserve">2024-25</t>
  </si>
  <si>
    <t xml:space="preserve">2025-26</t>
  </si>
  <si>
    <t xml:space="preserve">2026-27</t>
  </si>
  <si>
    <t xml:space="preserve">Upgrade to Capital Gains Calculator 2026-27 – Pro</t>
  </si>
  <si>
    <t xml:space="preserve">The Pro edition adds:</t>
  </si>
  <si>
    <t xml:space="preserve">✔  Exemption Planner – old ss. 54, 54EC and 54F: exemption, tax saved, investment needed and every deadline from the sale date</t>
  </si>
  <si>
    <t xml:space="preserve">✔  LTCG Harvesting – how many units of each long-term holding to sell to use the ₹1.25 lakh exemption before 31 March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</si>
  <si>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</si>
  <si>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</si>
  <si>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https://pblab.in/templates/capital-gains-calculator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</si>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</sst>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m\-yyyy"/>
    <numFmt numFmtId="166" formatCode="#,##0;\(#,##0\);\-"/>
    <numFmt numFmtId="167" formatCode="0.0%;\(0.0%\);\-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6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864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2EFDA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7F7F7F"/>
      <rgbColor rgb="FF1F3864"/>
      <rgbColor rgb="FF70AD47"/>
      <rgbColor rgb="FF0061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capital-gains-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IF(Summary!B36="OK","✔ "&amp;Summary!B33&amp;" sales · capital gains tax ₹"&amp;TEXT(Summary!B26,"#,##0")&amp;" (incl. cess) · losses to carry forward ₹"&amp;TEXT(Summary!B29+Summary!B30,"#,##0"),"⚠ "&amp;(Summary!B34+Summary!B35)&amp;" row(s) need attention – see Summary checks")</f>
        <v>✔ 10 sales · capital gains tax ₹156,893 (incl. cess) · losses to carry forward ₹0</v>
      </c>
    </row>
    <row r="7" customFormat="false" ht="15" hidden="false" customHeight="true" outlineLevel="0" collapsed="false">
      <c r="B7" s="7" t="s">
        <v>5</v>
      </c>
    </row>
    <row r="8" customFormat="false" ht="69.7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1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27.75" hidden="false" customHeight="true" outlineLevel="0" collapsed="false">
      <c r="B22" s="9" t="s">
        <v>24</v>
      </c>
      <c r="C22" s="8" t="s">
        <v>25</v>
      </c>
    </row>
    <row r="23" customFormat="false" ht="42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7" customFormat="false" ht="15" hidden="false" customHeight="true" outlineLevel="0" collapsed="false">
      <c r="B27" s="7" t="s">
        <v>32</v>
      </c>
    </row>
    <row r="28" customFormat="false" ht="42" hidden="false" customHeight="true" outlineLevel="0" collapsed="false">
      <c r="B28" s="8"/>
      <c r="C28" s="8" t="s">
        <v>33</v>
      </c>
    </row>
    <row r="30" customFormat="false" ht="15" hidden="false" customHeight="true" outlineLevel="0" collapsed="false">
      <c r="B30" s="7" t="s">
        <v>34</v>
      </c>
    </row>
    <row r="31" customFormat="false" ht="27.75" hidden="false" customHeight="true" outlineLevel="0" collapsed="false">
      <c r="B31" s="9" t="s">
        <v>35</v>
      </c>
      <c r="C31" s="8" t="s">
        <v>36</v>
      </c>
    </row>
    <row r="32" customFormat="false" ht="27.75" hidden="false" customHeight="true" outlineLevel="0" collapsed="false">
      <c r="B32" s="9" t="s">
        <v>35</v>
      </c>
      <c r="C32" s="8" t="s">
        <v>37</v>
      </c>
    </row>
    <row r="33" customFormat="false" ht="15" hidden="false" customHeight="true" outlineLevel="0" collapsed="false">
      <c r="B33" s="9" t="s">
        <v>35</v>
      </c>
      <c r="C33" s="8" t="s">
        <v>38</v>
      </c>
    </row>
    <row r="35" customFormat="false" ht="15" hidden="false" customHeight="true" outlineLevel="0" collapsed="false">
      <c r="B35" s="7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  <row r="40" customFormat="false" ht="27.75" hidden="false" customHeight="true" outlineLevel="0" collapsed="false">
      <c r="B40" s="9" t="s">
        <v>48</v>
      </c>
      <c r="C40" s="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Q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30"/>
    <col collapsed="false" customWidth="true" hidden="false" outlineLevel="0" max="4" min="3" style="1" width="11"/>
    <col collapsed="false" customWidth="true" hidden="false" outlineLevel="0" max="5" min="5" style="1" width="13"/>
    <col collapsed="false" customWidth="true" hidden="false" outlineLevel="0" max="6" min="6" style="1" width="11"/>
    <col collapsed="false" customWidth="true" hidden="false" outlineLevel="0" max="7" min="7" style="1" width="13"/>
    <col collapsed="false" customWidth="true" hidden="false" outlineLevel="0" max="8" min="8" style="1" width="12"/>
    <col collapsed="false" customWidth="true" hidden="false" outlineLevel="0" max="9" min="9" style="1" width="13"/>
    <col collapsed="false" customWidth="true" hidden="false" outlineLevel="0" max="10" min="10" style="1" width="8"/>
    <col collapsed="false" customWidth="true" hidden="false" outlineLevel="0" max="14" min="11" style="1" width="13"/>
    <col collapsed="false" customWidth="true" hidden="false" outlineLevel="0" max="15" min="15" style="1" width="12"/>
    <col collapsed="false" customWidth="true" hidden="false" outlineLevel="0" max="16" min="16" style="1" width="13"/>
    <col collapsed="false" customWidth="true" hidden="false" outlineLevel="0" max="17" min="17" style="1" width="14"/>
  </cols>
  <sheetData>
    <row r="1" customFormat="false" ht="21.75" hidden="false" customHeight="true" outlineLevel="0" collapsed="false">
      <c r="A1" s="13" t="s">
        <v>50</v>
      </c>
      <c r="Q1" s="14" t="s">
        <v>51</v>
      </c>
    </row>
    <row r="2" customFormat="false" ht="15" hidden="false" customHeight="true" outlineLevel="0" collapsed="false">
      <c r="A2" s="3" t="s">
        <v>52</v>
      </c>
    </row>
    <row r="4" customFormat="false" ht="48" hidden="false" customHeight="true" outlineLevel="0" collapsed="false">
      <c r="A4" s="15" t="s">
        <v>53</v>
      </c>
      <c r="B4" s="16" t="s">
        <v>54</v>
      </c>
      <c r="C4" s="16" t="s">
        <v>55</v>
      </c>
      <c r="D4" s="16" t="s">
        <v>56</v>
      </c>
      <c r="E4" s="16" t="s">
        <v>57</v>
      </c>
      <c r="F4" s="16" t="s">
        <v>58</v>
      </c>
      <c r="G4" s="16" t="s">
        <v>59</v>
      </c>
      <c r="H4" s="16" t="s">
        <v>60</v>
      </c>
      <c r="I4" s="16" t="s">
        <v>61</v>
      </c>
      <c r="J4" s="16" t="s">
        <v>62</v>
      </c>
      <c r="K4" s="16" t="s">
        <v>63</v>
      </c>
      <c r="L4" s="16" t="s">
        <v>64</v>
      </c>
      <c r="M4" s="16" t="s">
        <v>65</v>
      </c>
      <c r="N4" s="16" t="s">
        <v>66</v>
      </c>
      <c r="O4" s="16" t="s">
        <v>67</v>
      </c>
      <c r="P4" s="16" t="s">
        <v>68</v>
      </c>
      <c r="Q4" s="16" t="s">
        <v>69</v>
      </c>
    </row>
    <row r="5" customFormat="false" ht="15" hidden="false" customHeight="true" outlineLevel="0" collapsed="false">
      <c r="A5" s="17" t="s">
        <v>70</v>
      </c>
      <c r="B5" s="17" t="s">
        <v>71</v>
      </c>
      <c r="C5" s="18" t="n">
        <v>42804</v>
      </c>
      <c r="D5" s="18" t="n">
        <v>46154</v>
      </c>
      <c r="E5" s="19" t="n">
        <v>260000</v>
      </c>
      <c r="F5" s="19" t="n">
        <v>450</v>
      </c>
      <c r="G5" s="19" t="n">
        <v>180000</v>
      </c>
      <c r="H5" s="19" t="n">
        <v>0</v>
      </c>
      <c r="I5" s="19" t="n">
        <v>210000</v>
      </c>
      <c r="J5" s="20" t="n">
        <f aca="false">IF(OR(B5="",C5="",D5=""),"",DATEDIF(C5,D5,"m"))</f>
        <v>110</v>
      </c>
      <c r="K5" s="21" t="str">
        <f aca="false">IF(OR(B5="",C5="",D5=""),"",IF(B5=Lists!$E$10,"Short",IF(D5&gt;EDATE(C5,IF(OR(B5=Lists!$E$5,B5=Lists!$E$6),12,24)),"Long","Short")))</f>
        <v>Long</v>
      </c>
      <c r="L5" s="20" t="n">
        <f aca="false">IF(K5="","",IF(AND(B5=Lists!$E$5,K5="Long",C5&lt;DATE(2018,2,1),N(I5)&gt;0),MAX(G5,MIN(I5,E5)),IF(AND(C5&lt;DATE(2001,4,1),N(I5)&gt;0,B5&lt;&gt;Lists!$E$5),I5,G5)))</f>
        <v>210000</v>
      </c>
      <c r="M5" s="20" t="n">
        <f aca="false">IF(K5="","",E5-F5-L5-H5)</f>
        <v>49550</v>
      </c>
      <c r="N5" s="20" t="str">
        <f aca="false">IF(K5="","",IF(AND(K5="Long",B5=Lists!$E$7,C5&lt;DATE(2024,7,23)),ROUND((L5+H5)*INDEX(Lists!$C$5:$C$30,MATCH(MIN(MAX(Lists!$B$5:$B$30),YEAR(D5)-IF(MONTH(D5)&lt;4,1,0)),Lists!$B$5:$B$30,0))/INDEX(Lists!$C$5:$C$30,MATCH(MAX(2001,YEAR(C5)-IF(MONTH(C5)&lt;4,1,0)),Lists!$B$5:$B$30,0)),0),""))</f>
        <v/>
      </c>
      <c r="O5" s="20" t="str">
        <f aca="false">IF(N5="","",E5-F5-N5)</f>
        <v/>
      </c>
      <c r="P5" s="21" t="str">
        <f aca="false">IF(K5="","",IF(K5="Short",IF(B5=Lists!$E$5,"ST 20%","ST slab"),IF(B5=Lists!$E$5,"LT 112A",IF(N5="","LT 12.5%",IF(AND(M5&gt;0,O5*0.2&lt;M5*0.125),"LT 20% indexed","LT 12.5%")))))</f>
        <v>LT 112A</v>
      </c>
      <c r="Q5" s="22" t="n">
        <f aca="false">IF(P5="","",IF(P5="LT 20% indexed",MAX(0,O5),M5))</f>
        <v>49550</v>
      </c>
    </row>
    <row r="6" customFormat="false" ht="15" hidden="false" customHeight="true" outlineLevel="0" collapsed="false">
      <c r="A6" s="17" t="s">
        <v>72</v>
      </c>
      <c r="B6" s="17" t="s">
        <v>71</v>
      </c>
      <c r="C6" s="18" t="n">
        <v>45874</v>
      </c>
      <c r="D6" s="18" t="n">
        <v>46193</v>
      </c>
      <c r="E6" s="19" t="n">
        <v>240000</v>
      </c>
      <c r="F6" s="19" t="n">
        <v>0</v>
      </c>
      <c r="G6" s="19" t="n">
        <v>210000</v>
      </c>
      <c r="H6" s="19" t="n">
        <v>0</v>
      </c>
      <c r="I6" s="19"/>
      <c r="J6" s="20" t="n">
        <f aca="false">IF(OR(B6="",C6="",D6=""),"",DATEDIF(C6,D6,"m"))</f>
        <v>10</v>
      </c>
      <c r="K6" s="21" t="str">
        <f aca="false">IF(OR(B6="",C6="",D6=""),"",IF(B6=Lists!$E$10,"Short",IF(D6&gt;EDATE(C6,IF(OR(B6=Lists!$E$5,B6=Lists!$E$6),12,24)),"Long","Short")))</f>
        <v>Short</v>
      </c>
      <c r="L6" s="20" t="n">
        <f aca="false">IF(K6="","",IF(AND(B6=Lists!$E$5,K6="Long",C6&lt;DATE(2018,2,1),N(I6)&gt;0),MAX(G6,MIN(I6,E6)),IF(AND(C6&lt;DATE(2001,4,1),N(I6)&gt;0,B6&lt;&gt;Lists!$E$5),I6,G6)))</f>
        <v>210000</v>
      </c>
      <c r="M6" s="20" t="n">
        <f aca="false">IF(K6="","",E6-F6-L6-H6)</f>
        <v>30000</v>
      </c>
      <c r="N6" s="20" t="str">
        <f aca="false">IF(K6="","",IF(AND(K6="Long",B6=Lists!$E$7,C6&lt;DATE(2024,7,23)),ROUND((L6+H6)*INDEX(Lists!$C$5:$C$30,MATCH(MIN(MAX(Lists!$B$5:$B$30),YEAR(D6)-IF(MONTH(D6)&lt;4,1,0)),Lists!$B$5:$B$30,0))/INDEX(Lists!$C$5:$C$30,MATCH(MAX(2001,YEAR(C6)-IF(MONTH(C6)&lt;4,1,0)),Lists!$B$5:$B$30,0)),0),""))</f>
        <v/>
      </c>
      <c r="O6" s="20" t="str">
        <f aca="false">IF(N6="","",E6-F6-N6)</f>
        <v/>
      </c>
      <c r="P6" s="21" t="str">
        <f aca="false">IF(K6="","",IF(K6="Short",IF(B6=Lists!$E$5,"ST 20%","ST slab"),IF(B6=Lists!$E$5,"LT 112A",IF(N6="","LT 12.5%",IF(AND(M6&gt;0,O6*0.2&lt;M6*0.125),"LT 20% indexed","LT 12.5%")))))</f>
        <v>ST 20%</v>
      </c>
      <c r="Q6" s="22" t="n">
        <f aca="false">IF(P6="","",IF(P6="LT 20% indexed",MAX(0,O6),M6))</f>
        <v>30000</v>
      </c>
    </row>
    <row r="7" customFormat="false" ht="15" hidden="false" customHeight="true" outlineLevel="0" collapsed="false">
      <c r="A7" s="17" t="s">
        <v>73</v>
      </c>
      <c r="B7" s="17" t="s">
        <v>71</v>
      </c>
      <c r="C7" s="18" t="n">
        <v>45672</v>
      </c>
      <c r="D7" s="18" t="n">
        <v>46221</v>
      </c>
      <c r="E7" s="19" t="n">
        <v>110000</v>
      </c>
      <c r="F7" s="19" t="n">
        <v>120</v>
      </c>
      <c r="G7" s="19" t="n">
        <v>145000</v>
      </c>
      <c r="H7" s="19" t="n">
        <v>0</v>
      </c>
      <c r="I7" s="19"/>
      <c r="J7" s="20" t="n">
        <f aca="false">IF(OR(B7="",C7="",D7=""),"",DATEDIF(C7,D7,"m"))</f>
        <v>18</v>
      </c>
      <c r="K7" s="21" t="str">
        <f aca="false">IF(OR(B7="",C7="",D7=""),"",IF(B7=Lists!$E$10,"Short",IF(D7&gt;EDATE(C7,IF(OR(B7=Lists!$E$5,B7=Lists!$E$6),12,24)),"Long","Short")))</f>
        <v>Long</v>
      </c>
      <c r="L7" s="20" t="n">
        <f aca="false">IF(K7="","",IF(AND(B7=Lists!$E$5,K7="Long",C7&lt;DATE(2018,2,1),N(I7)&gt;0),MAX(G7,MIN(I7,E7)),IF(AND(C7&lt;DATE(2001,4,1),N(I7)&gt;0,B7&lt;&gt;Lists!$E$5),I7,G7)))</f>
        <v>145000</v>
      </c>
      <c r="M7" s="20" t="n">
        <f aca="false">IF(K7="","",E7-F7-L7-H7)</f>
        <v>-35120</v>
      </c>
      <c r="N7" s="20" t="str">
        <f aca="false">IF(K7="","",IF(AND(K7="Long",B7=Lists!$E$7,C7&lt;DATE(2024,7,23)),ROUND((L7+H7)*INDEX(Lists!$C$5:$C$30,MATCH(MIN(MAX(Lists!$B$5:$B$30),YEAR(D7)-IF(MONTH(D7)&lt;4,1,0)),Lists!$B$5:$B$30,0))/INDEX(Lists!$C$5:$C$30,MATCH(MAX(2001,YEAR(C7)-IF(MONTH(C7)&lt;4,1,0)),Lists!$B$5:$B$30,0)),0),""))</f>
        <v/>
      </c>
      <c r="O7" s="20" t="str">
        <f aca="false">IF(N7="","",E7-F7-N7)</f>
        <v/>
      </c>
      <c r="P7" s="21" t="str">
        <f aca="false">IF(K7="","",IF(K7="Short",IF(B7=Lists!$E$5,"ST 20%","ST slab"),IF(B7=Lists!$E$5,"LT 112A",IF(N7="","LT 12.5%",IF(AND(M7&gt;0,O7*0.2&lt;M7*0.125),"LT 20% indexed","LT 12.5%")))))</f>
        <v>LT 112A</v>
      </c>
      <c r="Q7" s="22" t="n">
        <f aca="false">IF(P7="","",IF(P7="LT 20% indexed",MAX(0,O7),M7))</f>
        <v>-35120</v>
      </c>
    </row>
    <row r="8" customFormat="false" ht="15" hidden="false" customHeight="true" outlineLevel="0" collapsed="false">
      <c r="A8" s="17" t="s">
        <v>74</v>
      </c>
      <c r="B8" s="17" t="s">
        <v>71</v>
      </c>
      <c r="C8" s="18" t="n">
        <v>46024</v>
      </c>
      <c r="D8" s="18" t="n">
        <v>46244</v>
      </c>
      <c r="E8" s="19" t="n">
        <v>75000</v>
      </c>
      <c r="F8" s="19" t="n">
        <v>80</v>
      </c>
      <c r="G8" s="19" t="n">
        <v>95000</v>
      </c>
      <c r="H8" s="19" t="n">
        <v>0</v>
      </c>
      <c r="I8" s="19"/>
      <c r="J8" s="20" t="n">
        <f aca="false">IF(OR(B8="",C8="",D8=""),"",DATEDIF(C8,D8,"m"))</f>
        <v>7</v>
      </c>
      <c r="K8" s="21" t="str">
        <f aca="false">IF(OR(B8="",C8="",D8=""),"",IF(B8=Lists!$E$10,"Short",IF(D8&gt;EDATE(C8,IF(OR(B8=Lists!$E$5,B8=Lists!$E$6),12,24)),"Long","Short")))</f>
        <v>Short</v>
      </c>
      <c r="L8" s="20" t="n">
        <f aca="false">IF(K8="","",IF(AND(B8=Lists!$E$5,K8="Long",C8&lt;DATE(2018,2,1),N(I8)&gt;0),MAX(G8,MIN(I8,E8)),IF(AND(C8&lt;DATE(2001,4,1),N(I8)&gt;0,B8&lt;&gt;Lists!$E$5),I8,G8)))</f>
        <v>95000</v>
      </c>
      <c r="M8" s="20" t="n">
        <f aca="false">IF(K8="","",E8-F8-L8-H8)</f>
        <v>-20080</v>
      </c>
      <c r="N8" s="20" t="str">
        <f aca="false">IF(K8="","",IF(AND(K8="Long",B8=Lists!$E$7,C8&lt;DATE(2024,7,23)),ROUND((L8+H8)*INDEX(Lists!$C$5:$C$30,MATCH(MIN(MAX(Lists!$B$5:$B$30),YEAR(D8)-IF(MONTH(D8)&lt;4,1,0)),Lists!$B$5:$B$30,0))/INDEX(Lists!$C$5:$C$30,MATCH(MAX(2001,YEAR(C8)-IF(MONTH(C8)&lt;4,1,0)),Lists!$B$5:$B$30,0)),0),""))</f>
        <v/>
      </c>
      <c r="O8" s="20" t="str">
        <f aca="false">IF(N8="","",E8-F8-N8)</f>
        <v/>
      </c>
      <c r="P8" s="21" t="str">
        <f aca="false">IF(K8="","",IF(K8="Short",IF(B8=Lists!$E$5,"ST 20%","ST slab"),IF(B8=Lists!$E$5,"LT 112A",IF(N8="","LT 12.5%",IF(AND(M8&gt;0,O8*0.2&lt;M8*0.125),"LT 20% indexed","LT 12.5%")))))</f>
        <v>ST 20%</v>
      </c>
      <c r="Q8" s="22" t="n">
        <f aca="false">IF(P8="","",IF(P8="LT 20% indexed",MAX(0,O8),M8))</f>
        <v>-20080</v>
      </c>
    </row>
    <row r="9" customFormat="false" ht="15" hidden="false" customHeight="true" outlineLevel="0" collapsed="false">
      <c r="A9" s="17" t="s">
        <v>75</v>
      </c>
      <c r="B9" s="17" t="s">
        <v>76</v>
      </c>
      <c r="C9" s="18" t="n">
        <v>41075</v>
      </c>
      <c r="D9" s="18" t="n">
        <v>46295</v>
      </c>
      <c r="E9" s="19" t="n">
        <v>9500000</v>
      </c>
      <c r="F9" s="19" t="n">
        <v>190000</v>
      </c>
      <c r="G9" s="19" t="n">
        <v>4200000</v>
      </c>
      <c r="H9" s="19" t="n">
        <v>300000</v>
      </c>
      <c r="I9" s="19"/>
      <c r="J9" s="20" t="n">
        <f aca="false">IF(OR(B9="",C9="",D9=""),"",DATEDIF(C9,D9,"m"))</f>
        <v>171</v>
      </c>
      <c r="K9" s="21" t="str">
        <f aca="false">IF(OR(B9="",C9="",D9=""),"",IF(B9=Lists!$E$10,"Short",IF(D9&gt;EDATE(C9,IF(OR(B9=Lists!$E$5,B9=Lists!$E$6),12,24)),"Long","Short")))</f>
        <v>Long</v>
      </c>
      <c r="L9" s="20" t="n">
        <f aca="false">IF(K9="","",IF(AND(B9=Lists!$E$5,K9="Long",C9&lt;DATE(2018,2,1),N(I9)&gt;0),MAX(G9,MIN(I9,E9)),IF(AND(C9&lt;DATE(2001,4,1),N(I9)&gt;0,B9&lt;&gt;Lists!$E$5),I9,G9)))</f>
        <v>4200000</v>
      </c>
      <c r="M9" s="20" t="n">
        <f aca="false">IF(K9="","",E9-F9-L9-H9)</f>
        <v>4810000</v>
      </c>
      <c r="N9" s="20" t="n">
        <f aca="false">IF(K9="","",IF(AND(K9="Long",B9=Lists!$E$7,C9&lt;DATE(2024,7,23)),ROUND((L9+H9)*INDEX(Lists!$C$5:$C$30,MATCH(MIN(MAX(Lists!$B$5:$B$30),YEAR(D9)-IF(MONTH(D9)&lt;4,1,0)),Lists!$B$5:$B$30,0))/INDEX(Lists!$C$5:$C$30,MATCH(MAX(2001,YEAR(C9)-IF(MONTH(C9)&lt;4,1,0)),Lists!$B$5:$B$30,0)),0),""))</f>
        <v>8640000</v>
      </c>
      <c r="O9" s="20" t="n">
        <f aca="false">IF(N9="","",E9-F9-N9)</f>
        <v>670000</v>
      </c>
      <c r="P9" s="21" t="str">
        <f aca="false">IF(K9="","",IF(K9="Short",IF(B9=Lists!$E$5,"ST 20%","ST slab"),IF(B9=Lists!$E$5,"LT 112A",IF(N9="","LT 12.5%",IF(AND(M9&gt;0,O9*0.2&lt;M9*0.125),"LT 20% indexed","LT 12.5%")))))</f>
        <v>LT 20% indexed</v>
      </c>
      <c r="Q9" s="22" t="n">
        <f aca="false">IF(P9="","",IF(P9="LT 20% indexed",MAX(0,O9),M9))</f>
        <v>670000</v>
      </c>
    </row>
    <row r="10" customFormat="false" ht="15" hidden="false" customHeight="true" outlineLevel="0" collapsed="false">
      <c r="A10" s="17" t="s">
        <v>77</v>
      </c>
      <c r="B10" s="17" t="s">
        <v>78</v>
      </c>
      <c r="C10" s="18" t="n">
        <v>44501</v>
      </c>
      <c r="D10" s="18" t="n">
        <v>46248</v>
      </c>
      <c r="E10" s="19" t="n">
        <v>360000</v>
      </c>
      <c r="F10" s="19" t="n">
        <v>0</v>
      </c>
      <c r="G10" s="19" t="n">
        <v>210000</v>
      </c>
      <c r="H10" s="19" t="n">
        <v>0</v>
      </c>
      <c r="I10" s="19"/>
      <c r="J10" s="20" t="n">
        <f aca="false">IF(OR(B10="",C10="",D10=""),"",DATEDIF(C10,D10,"m"))</f>
        <v>57</v>
      </c>
      <c r="K10" s="21" t="str">
        <f aca="false">IF(OR(B10="",C10="",D10=""),"",IF(B10=Lists!$E$10,"Short",IF(D10&gt;EDATE(C10,IF(OR(B10=Lists!$E$5,B10=Lists!$E$6),12,24)),"Long","Short")))</f>
        <v>Long</v>
      </c>
      <c r="L10" s="20" t="n">
        <f aca="false">IF(K10="","",IF(AND(B10=Lists!$E$5,K10="Long",C10&lt;DATE(2018,2,1),N(I10)&gt;0),MAX(G10,MIN(I10,E10)),IF(AND(C10&lt;DATE(2001,4,1),N(I10)&gt;0,B10&lt;&gt;Lists!$E$5),I10,G10)))</f>
        <v>210000</v>
      </c>
      <c r="M10" s="20" t="n">
        <f aca="false">IF(K10="","",E10-F10-L10-H10)</f>
        <v>150000</v>
      </c>
      <c r="N10" s="20" t="str">
        <f aca="false">IF(K10="","",IF(AND(K10="Long",B10=Lists!$E$7,C10&lt;DATE(2024,7,23)),ROUND((L10+H10)*INDEX(Lists!$C$5:$C$30,MATCH(MIN(MAX(Lists!$B$5:$B$30),YEAR(D10)-IF(MONTH(D10)&lt;4,1,0)),Lists!$B$5:$B$30,0))/INDEX(Lists!$C$5:$C$30,MATCH(MAX(2001,YEAR(C10)-IF(MONTH(C10)&lt;4,1,0)),Lists!$B$5:$B$30,0)),0),""))</f>
        <v/>
      </c>
      <c r="O10" s="20" t="str">
        <f aca="false">IF(N10="","",E10-F10-N10)</f>
        <v/>
      </c>
      <c r="P10" s="21" t="str">
        <f aca="false">IF(K10="","",IF(K10="Short",IF(B10=Lists!$E$5,"ST 20%","ST slab"),IF(B10=Lists!$E$5,"LT 112A",IF(N10="","LT 12.5%",IF(AND(M10&gt;0,O10*0.2&lt;M10*0.125),"LT 20% indexed","LT 12.5%")))))</f>
        <v>LT 12.5%</v>
      </c>
      <c r="Q10" s="22" t="n">
        <f aca="false">IF(P10="","",IF(P10="LT 20% indexed",MAX(0,O10),M10))</f>
        <v>150000</v>
      </c>
    </row>
    <row r="11" customFormat="false" ht="15" hidden="false" customHeight="true" outlineLevel="0" collapsed="false">
      <c r="A11" s="17" t="s">
        <v>79</v>
      </c>
      <c r="B11" s="17" t="s">
        <v>80</v>
      </c>
      <c r="C11" s="18" t="n">
        <v>45056</v>
      </c>
      <c r="D11" s="18" t="n">
        <v>46270</v>
      </c>
      <c r="E11" s="19" t="n">
        <v>560000</v>
      </c>
      <c r="F11" s="19" t="n">
        <v>0</v>
      </c>
      <c r="G11" s="19" t="n">
        <v>500000</v>
      </c>
      <c r="H11" s="19" t="n">
        <v>0</v>
      </c>
      <c r="I11" s="19"/>
      <c r="J11" s="20" t="n">
        <f aca="false">IF(OR(B11="",C11="",D11=""),"",DATEDIF(C11,D11,"m"))</f>
        <v>39</v>
      </c>
      <c r="K11" s="21" t="str">
        <f aca="false">IF(OR(B11="",C11="",D11=""),"",IF(B11=Lists!$E$10,"Short",IF(D11&gt;EDATE(C11,IF(OR(B11=Lists!$E$5,B11=Lists!$E$6),12,24)),"Long","Short")))</f>
        <v>Short</v>
      </c>
      <c r="L11" s="20" t="n">
        <f aca="false">IF(K11="","",IF(AND(B11=Lists!$E$5,K11="Long",C11&lt;DATE(2018,2,1),N(I11)&gt;0),MAX(G11,MIN(I11,E11)),IF(AND(C11&lt;DATE(2001,4,1),N(I11)&gt;0,B11&lt;&gt;Lists!$E$5),I11,G11)))</f>
        <v>500000</v>
      </c>
      <c r="M11" s="20" t="n">
        <f aca="false">IF(K11="","",E11-F11-L11-H11)</f>
        <v>60000</v>
      </c>
      <c r="N11" s="20" t="str">
        <f aca="false">IF(K11="","",IF(AND(K11="Long",B11=Lists!$E$7,C11&lt;DATE(2024,7,23)),ROUND((L11+H11)*INDEX(Lists!$C$5:$C$30,MATCH(MIN(MAX(Lists!$B$5:$B$30),YEAR(D11)-IF(MONTH(D11)&lt;4,1,0)),Lists!$B$5:$B$30,0))/INDEX(Lists!$C$5:$C$30,MATCH(MAX(2001,YEAR(C11)-IF(MONTH(C11)&lt;4,1,0)),Lists!$B$5:$B$30,0)),0),""))</f>
        <v/>
      </c>
      <c r="O11" s="20" t="str">
        <f aca="false">IF(N11="","",E11-F11-N11)</f>
        <v/>
      </c>
      <c r="P11" s="21" t="str">
        <f aca="false">IF(K11="","",IF(K11="Short",IF(B11=Lists!$E$5,"ST 20%","ST slab"),IF(B11=Lists!$E$5,"LT 112A",IF(N11="","LT 12.5%",IF(AND(M11&gt;0,O11*0.2&lt;M11*0.125),"LT 20% indexed","LT 12.5%")))))</f>
        <v>ST slab</v>
      </c>
      <c r="Q11" s="22" t="n">
        <f aca="false">IF(P11="","",IF(P11="LT 20% indexed",MAX(0,O11),M11))</f>
        <v>60000</v>
      </c>
    </row>
    <row r="12" customFormat="false" ht="15" hidden="false" customHeight="true" outlineLevel="0" collapsed="false">
      <c r="A12" s="17" t="s">
        <v>81</v>
      </c>
      <c r="B12" s="17" t="s">
        <v>82</v>
      </c>
      <c r="C12" s="18" t="n">
        <v>44573</v>
      </c>
      <c r="D12" s="18" t="n">
        <v>46270</v>
      </c>
      <c r="E12" s="19" t="n">
        <v>340000</v>
      </c>
      <c r="F12" s="19" t="n">
        <v>0</v>
      </c>
      <c r="G12" s="19" t="n">
        <v>280000</v>
      </c>
      <c r="H12" s="19" t="n">
        <v>0</v>
      </c>
      <c r="I12" s="19"/>
      <c r="J12" s="20" t="n">
        <f aca="false">IF(OR(B12="",C12="",D12=""),"",DATEDIF(C12,D12,"m"))</f>
        <v>55</v>
      </c>
      <c r="K12" s="21" t="str">
        <f aca="false">IF(OR(B12="",C12="",D12=""),"",IF(B12=Lists!$E$10,"Short",IF(D12&gt;EDATE(C12,IF(OR(B12=Lists!$E$5,B12=Lists!$E$6),12,24)),"Long","Short")))</f>
        <v>Long</v>
      </c>
      <c r="L12" s="20" t="n">
        <f aca="false">IF(K12="","",IF(AND(B12=Lists!$E$5,K12="Long",C12&lt;DATE(2018,2,1),N(I12)&gt;0),MAX(G12,MIN(I12,E12)),IF(AND(C12&lt;DATE(2001,4,1),N(I12)&gt;0,B12&lt;&gt;Lists!$E$5),I12,G12)))</f>
        <v>280000</v>
      </c>
      <c r="M12" s="20" t="n">
        <f aca="false">IF(K12="","",E12-F12-L12-H12)</f>
        <v>60000</v>
      </c>
      <c r="N12" s="20" t="str">
        <f aca="false">IF(K12="","",IF(AND(K12="Long",B12=Lists!$E$7,C12&lt;DATE(2024,7,23)),ROUND((L12+H12)*INDEX(Lists!$C$5:$C$30,MATCH(MIN(MAX(Lists!$B$5:$B$30),YEAR(D12)-IF(MONTH(D12)&lt;4,1,0)),Lists!$B$5:$B$30,0))/INDEX(Lists!$C$5:$C$30,MATCH(MAX(2001,YEAR(C12)-IF(MONTH(C12)&lt;4,1,0)),Lists!$B$5:$B$30,0)),0),""))</f>
        <v/>
      </c>
      <c r="O12" s="20" t="str">
        <f aca="false">IF(N12="","",E12-F12-N12)</f>
        <v/>
      </c>
      <c r="P12" s="21" t="str">
        <f aca="false">IF(K12="","",IF(K12="Short",IF(B12=Lists!$E$5,"ST 20%","ST slab"),IF(B12=Lists!$E$5,"LT 112A",IF(N12="","LT 12.5%",IF(AND(M12&gt;0,O12*0.2&lt;M12*0.125),"LT 20% indexed","LT 12.5%")))))</f>
        <v>LT 12.5%</v>
      </c>
      <c r="Q12" s="22" t="n">
        <f aca="false">IF(P12="","",IF(P12="LT 20% indexed",MAX(0,O12),M12))</f>
        <v>60000</v>
      </c>
    </row>
    <row r="13" customFormat="false" ht="15" hidden="false" customHeight="true" outlineLevel="0" collapsed="false">
      <c r="A13" s="17" t="s">
        <v>83</v>
      </c>
      <c r="B13" s="17" t="s">
        <v>84</v>
      </c>
      <c r="C13" s="18" t="n">
        <v>45748</v>
      </c>
      <c r="D13" s="18" t="n">
        <v>46296</v>
      </c>
      <c r="E13" s="19" t="n">
        <v>130000</v>
      </c>
      <c r="F13" s="19" t="n">
        <v>0</v>
      </c>
      <c r="G13" s="19" t="n">
        <v>250000</v>
      </c>
      <c r="H13" s="19" t="n">
        <v>0</v>
      </c>
      <c r="I13" s="19"/>
      <c r="J13" s="20" t="n">
        <f aca="false">IF(OR(B13="",C13="",D13=""),"",DATEDIF(C13,D13,"m"))</f>
        <v>18</v>
      </c>
      <c r="K13" s="21" t="str">
        <f aca="false">IF(OR(B13="",C13="",D13=""),"",IF(B13=Lists!$E$10,"Short",IF(D13&gt;EDATE(C13,IF(OR(B13=Lists!$E$5,B13=Lists!$E$6),12,24)),"Long","Short")))</f>
        <v>Short</v>
      </c>
      <c r="L13" s="20" t="n">
        <f aca="false">IF(K13="","",IF(AND(B13=Lists!$E$5,K13="Long",C13&lt;DATE(2018,2,1),N(I13)&gt;0),MAX(G13,MIN(I13,E13)),IF(AND(C13&lt;DATE(2001,4,1),N(I13)&gt;0,B13&lt;&gt;Lists!$E$5),I13,G13)))</f>
        <v>250000</v>
      </c>
      <c r="M13" s="20" t="n">
        <f aca="false">IF(K13="","",E13-F13-L13-H13)</f>
        <v>-120000</v>
      </c>
      <c r="N13" s="20" t="str">
        <f aca="false">IF(K13="","",IF(AND(K13="Long",B13=Lists!$E$7,C13&lt;DATE(2024,7,23)),ROUND((L13+H13)*INDEX(Lists!$C$5:$C$30,MATCH(MIN(MAX(Lists!$B$5:$B$30),YEAR(D13)-IF(MONTH(D13)&lt;4,1,0)),Lists!$B$5:$B$30,0))/INDEX(Lists!$C$5:$C$30,MATCH(MAX(2001,YEAR(C13)-IF(MONTH(C13)&lt;4,1,0)),Lists!$B$5:$B$30,0)),0),""))</f>
        <v/>
      </c>
      <c r="O13" s="20" t="str">
        <f aca="false">IF(N13="","",E13-F13-N13)</f>
        <v/>
      </c>
      <c r="P13" s="21" t="str">
        <f aca="false">IF(K13="","",IF(K13="Short",IF(B13=Lists!$E$5,"ST 20%","ST slab"),IF(B13=Lists!$E$5,"LT 112A",IF(N13="","LT 12.5%",IF(AND(M13&gt;0,O13*0.2&lt;M13*0.125),"LT 20% indexed","LT 12.5%")))))</f>
        <v>ST slab</v>
      </c>
      <c r="Q13" s="22" t="n">
        <f aca="false">IF(P13="","",IF(P13="LT 20% indexed",MAX(0,O13),M13))</f>
        <v>-120000</v>
      </c>
    </row>
    <row r="14" customFormat="false" ht="15" hidden="false" customHeight="true" outlineLevel="0" collapsed="false">
      <c r="A14" s="17" t="s">
        <v>85</v>
      </c>
      <c r="B14" s="17" t="s">
        <v>86</v>
      </c>
      <c r="C14" s="18" t="n">
        <v>45323</v>
      </c>
      <c r="D14" s="18" t="n">
        <v>46204</v>
      </c>
      <c r="E14" s="19" t="n">
        <v>105000</v>
      </c>
      <c r="F14" s="19" t="n">
        <v>0</v>
      </c>
      <c r="G14" s="19" t="n">
        <v>100000</v>
      </c>
      <c r="H14" s="19" t="n">
        <v>0</v>
      </c>
      <c r="I14" s="19"/>
      <c r="J14" s="20" t="n">
        <f aca="false">IF(OR(B14="",C14="",D14=""),"",DATEDIF(C14,D14,"m"))</f>
        <v>29</v>
      </c>
      <c r="K14" s="21" t="str">
        <f aca="false">IF(OR(B14="",C14="",D14=""),"",IF(B14=Lists!$E$10,"Short",IF(D14&gt;EDATE(C14,IF(OR(B14=Lists!$E$5,B14=Lists!$E$6),12,24)),"Long","Short")))</f>
        <v>Long</v>
      </c>
      <c r="L14" s="20" t="n">
        <f aca="false">IF(K14="","",IF(AND(B14=Lists!$E$5,K14="Long",C14&lt;DATE(2018,2,1),N(I14)&gt;0),MAX(G14,MIN(I14,E14)),IF(AND(C14&lt;DATE(2001,4,1),N(I14)&gt;0,B14&lt;&gt;Lists!$E$5),I14,G14)))</f>
        <v>100000</v>
      </c>
      <c r="M14" s="20" t="n">
        <f aca="false">IF(K14="","",E14-F14-L14-H14)</f>
        <v>5000</v>
      </c>
      <c r="N14" s="20" t="str">
        <f aca="false">IF(K14="","",IF(AND(K14="Long",B14=Lists!$E$7,C14&lt;DATE(2024,7,23)),ROUND((L14+H14)*INDEX(Lists!$C$5:$C$30,MATCH(MIN(MAX(Lists!$B$5:$B$30),YEAR(D14)-IF(MONTH(D14)&lt;4,1,0)),Lists!$B$5:$B$30,0))/INDEX(Lists!$C$5:$C$30,MATCH(MAX(2001,YEAR(C14)-IF(MONTH(C14)&lt;4,1,0)),Lists!$B$5:$B$30,0)),0),""))</f>
        <v/>
      </c>
      <c r="O14" s="20" t="str">
        <f aca="false">IF(N14="","",E14-F14-N14)</f>
        <v/>
      </c>
      <c r="P14" s="21" t="str">
        <f aca="false">IF(K14="","",IF(K14="Short",IF(B14=Lists!$E$5,"ST 20%","ST slab"),IF(B14=Lists!$E$5,"LT 112A",IF(N14="","LT 12.5%",IF(AND(M14&gt;0,O14*0.2&lt;M14*0.125),"LT 20% indexed","LT 12.5%")))))</f>
        <v>LT 12.5%</v>
      </c>
      <c r="Q14" s="22" t="n">
        <f aca="false">IF(P14="","",IF(P14="LT 20% indexed",MAX(0,O14),M14))</f>
        <v>5000</v>
      </c>
    </row>
    <row r="15" customFormat="false" ht="15" hidden="false" customHeight="true" outlineLevel="0" collapsed="false">
      <c r="A15" s="23"/>
      <c r="B15" s="23"/>
      <c r="C15" s="24"/>
      <c r="D15" s="24"/>
      <c r="E15" s="25"/>
      <c r="F15" s="25"/>
      <c r="G15" s="25"/>
      <c r="H15" s="25"/>
      <c r="I15" s="25"/>
      <c r="J15" s="20" t="str">
        <f aca="false">IF(OR(B15="",C15="",D15=""),"",DATEDIF(C15,D15,"m"))</f>
        <v/>
      </c>
      <c r="K15" s="21" t="str">
        <f aca="false">IF(OR(B15="",C15="",D15=""),"",IF(B15=Lists!$E$10,"Short",IF(D15&gt;EDATE(C15,IF(OR(B15=Lists!$E$5,B15=Lists!$E$6),12,24)),"Long","Short")))</f>
        <v/>
      </c>
      <c r="L15" s="20" t="str">
        <f aca="false">IF(K15="","",IF(AND(B15=Lists!$E$5,K15="Long",C15&lt;DATE(2018,2,1),N(I15)&gt;0),MAX(G15,MIN(I15,E15)),IF(AND(C15&lt;DATE(2001,4,1),N(I15)&gt;0,B15&lt;&gt;Lists!$E$5),I15,G15)))</f>
        <v/>
      </c>
      <c r="M15" s="20" t="str">
        <f aca="false">IF(K15="","",E15-F15-L15-H15)</f>
        <v/>
      </c>
      <c r="N15" s="20" t="str">
        <f aca="false">IF(K15="","",IF(AND(K15="Long",B15=Lists!$E$7,C15&lt;DATE(2024,7,23)),ROUND((L15+H15)*INDEX(Lists!$C$5:$C$30,MATCH(MIN(MAX(Lists!$B$5:$B$30),YEAR(D15)-IF(MONTH(D15)&lt;4,1,0)),Lists!$B$5:$B$30,0))/INDEX(Lists!$C$5:$C$30,MATCH(MAX(2001,YEAR(C15)-IF(MONTH(C15)&lt;4,1,0)),Lists!$B$5:$B$30,0)),0),""))</f>
        <v/>
      </c>
      <c r="O15" s="20" t="str">
        <f aca="false">IF(N15="","",E15-F15-N15)</f>
        <v/>
      </c>
      <c r="P15" s="21" t="str">
        <f aca="false">IF(K15="","",IF(K15="Short",IF(B15=Lists!$E$5,"ST 20%","ST slab"),IF(B15=Lists!$E$5,"LT 112A",IF(N15="","LT 12.5%",IF(AND(M15&gt;0,O15*0.2&lt;M15*0.125),"LT 20% indexed","LT 12.5%")))))</f>
        <v/>
      </c>
      <c r="Q15" s="22" t="str">
        <f aca="false">IF(P15="","",IF(P15="LT 20% indexed",MAX(0,O15),M15))</f>
        <v/>
      </c>
    </row>
    <row r="16" customFormat="false" ht="15" hidden="false" customHeight="true" outlineLevel="0" collapsed="false">
      <c r="A16" s="23"/>
      <c r="B16" s="23"/>
      <c r="C16" s="24"/>
      <c r="D16" s="24"/>
      <c r="E16" s="25"/>
      <c r="F16" s="25"/>
      <c r="G16" s="25"/>
      <c r="H16" s="25"/>
      <c r="I16" s="25"/>
      <c r="J16" s="20" t="str">
        <f aca="false">IF(OR(B16="",C16="",D16=""),"",DATEDIF(C16,D16,"m"))</f>
        <v/>
      </c>
      <c r="K16" s="21" t="str">
        <f aca="false">IF(OR(B16="",C16="",D16=""),"",IF(B16=Lists!$E$10,"Short",IF(D16&gt;EDATE(C16,IF(OR(B16=Lists!$E$5,B16=Lists!$E$6),12,24)),"Long","Short")))</f>
        <v/>
      </c>
      <c r="L16" s="20" t="str">
        <f aca="false">IF(K16="","",IF(AND(B16=Lists!$E$5,K16="Long",C16&lt;DATE(2018,2,1),N(I16)&gt;0),MAX(G16,MIN(I16,E16)),IF(AND(C16&lt;DATE(2001,4,1),N(I16)&gt;0,B16&lt;&gt;Lists!$E$5),I16,G16)))</f>
        <v/>
      </c>
      <c r="M16" s="20" t="str">
        <f aca="false">IF(K16="","",E16-F16-L16-H16)</f>
        <v/>
      </c>
      <c r="N16" s="20" t="str">
        <f aca="false">IF(K16="","",IF(AND(K16="Long",B16=Lists!$E$7,C16&lt;DATE(2024,7,23)),ROUND((L16+H16)*INDEX(Lists!$C$5:$C$30,MATCH(MIN(MAX(Lists!$B$5:$B$30),YEAR(D16)-IF(MONTH(D16)&lt;4,1,0)),Lists!$B$5:$B$30,0))/INDEX(Lists!$C$5:$C$30,MATCH(MAX(2001,YEAR(C16)-IF(MONTH(C16)&lt;4,1,0)),Lists!$B$5:$B$30,0)),0),""))</f>
        <v/>
      </c>
      <c r="O16" s="20" t="str">
        <f aca="false">IF(N16="","",E16-F16-N16)</f>
        <v/>
      </c>
      <c r="P16" s="21" t="str">
        <f aca="false">IF(K16="","",IF(K16="Short",IF(B16=Lists!$E$5,"ST 20%","ST slab"),IF(B16=Lists!$E$5,"LT 112A",IF(N16="","LT 12.5%",IF(AND(M16&gt;0,O16*0.2&lt;M16*0.125),"LT 20% indexed","LT 12.5%")))))</f>
        <v/>
      </c>
      <c r="Q16" s="22" t="str">
        <f aca="false">IF(P16="","",IF(P16="LT 20% indexed",MAX(0,O16),M16))</f>
        <v/>
      </c>
    </row>
    <row r="17" customFormat="false" ht="15" hidden="false" customHeight="true" outlineLevel="0" collapsed="false">
      <c r="A17" s="23"/>
      <c r="B17" s="23"/>
      <c r="C17" s="24"/>
      <c r="D17" s="24"/>
      <c r="E17" s="25"/>
      <c r="F17" s="25"/>
      <c r="G17" s="25"/>
      <c r="H17" s="25"/>
      <c r="I17" s="25"/>
      <c r="J17" s="20" t="str">
        <f aca="false">IF(OR(B17="",C17="",D17=""),"",DATEDIF(C17,D17,"m"))</f>
        <v/>
      </c>
      <c r="K17" s="21" t="str">
        <f aca="false">IF(OR(B17="",C17="",D17=""),"",IF(B17=Lists!$E$10,"Short",IF(D17&gt;EDATE(C17,IF(OR(B17=Lists!$E$5,B17=Lists!$E$6),12,24)),"Long","Short")))</f>
        <v/>
      </c>
      <c r="L17" s="20" t="str">
        <f aca="false">IF(K17="","",IF(AND(B17=Lists!$E$5,K17="Long",C17&lt;DATE(2018,2,1),N(I17)&gt;0),MAX(G17,MIN(I17,E17)),IF(AND(C17&lt;DATE(2001,4,1),N(I17)&gt;0,B17&lt;&gt;Lists!$E$5),I17,G17)))</f>
        <v/>
      </c>
      <c r="M17" s="20" t="str">
        <f aca="false">IF(K17="","",E17-F17-L17-H17)</f>
        <v/>
      </c>
      <c r="N17" s="20" t="str">
        <f aca="false">IF(K17="","",IF(AND(K17="Long",B17=Lists!$E$7,C17&lt;DATE(2024,7,23)),ROUND((L17+H17)*INDEX(Lists!$C$5:$C$30,MATCH(MIN(MAX(Lists!$B$5:$B$30),YEAR(D17)-IF(MONTH(D17)&lt;4,1,0)),Lists!$B$5:$B$30,0))/INDEX(Lists!$C$5:$C$30,MATCH(MAX(2001,YEAR(C17)-IF(MONTH(C17)&lt;4,1,0)),Lists!$B$5:$B$30,0)),0),""))</f>
        <v/>
      </c>
      <c r="O17" s="20" t="str">
        <f aca="false">IF(N17="","",E17-F17-N17)</f>
        <v/>
      </c>
      <c r="P17" s="21" t="str">
        <f aca="false">IF(K17="","",IF(K17="Short",IF(B17=Lists!$E$5,"ST 20%","ST slab"),IF(B17=Lists!$E$5,"LT 112A",IF(N17="","LT 12.5%",IF(AND(M17&gt;0,O17*0.2&lt;M17*0.125),"LT 20% indexed","LT 12.5%")))))</f>
        <v/>
      </c>
      <c r="Q17" s="22" t="str">
        <f aca="false">IF(P17="","",IF(P17="LT 20% indexed",MAX(0,O17),M17))</f>
        <v/>
      </c>
    </row>
    <row r="18" customFormat="false" ht="15" hidden="false" customHeight="true" outlineLevel="0" collapsed="false">
      <c r="A18" s="23"/>
      <c r="B18" s="23"/>
      <c r="C18" s="24"/>
      <c r="D18" s="24"/>
      <c r="E18" s="25"/>
      <c r="F18" s="25"/>
      <c r="G18" s="25"/>
      <c r="H18" s="25"/>
      <c r="I18" s="25"/>
      <c r="J18" s="20" t="str">
        <f aca="false">IF(OR(B18="",C18="",D18=""),"",DATEDIF(C18,D18,"m"))</f>
        <v/>
      </c>
      <c r="K18" s="21" t="str">
        <f aca="false">IF(OR(B18="",C18="",D18=""),"",IF(B18=Lists!$E$10,"Short",IF(D18&gt;EDATE(C18,IF(OR(B18=Lists!$E$5,B18=Lists!$E$6),12,24)),"Long","Short")))</f>
        <v/>
      </c>
      <c r="L18" s="20" t="str">
        <f aca="false">IF(K18="","",IF(AND(B18=Lists!$E$5,K18="Long",C18&lt;DATE(2018,2,1),N(I18)&gt;0),MAX(G18,MIN(I18,E18)),IF(AND(C18&lt;DATE(2001,4,1),N(I18)&gt;0,B18&lt;&gt;Lists!$E$5),I18,G18)))</f>
        <v/>
      </c>
      <c r="M18" s="20" t="str">
        <f aca="false">IF(K18="","",E18-F18-L18-H18)</f>
        <v/>
      </c>
      <c r="N18" s="20" t="str">
        <f aca="false">IF(K18="","",IF(AND(K18="Long",B18=Lists!$E$7,C18&lt;DATE(2024,7,23)),ROUND((L18+H18)*INDEX(Lists!$C$5:$C$30,MATCH(MIN(MAX(Lists!$B$5:$B$30),YEAR(D18)-IF(MONTH(D18)&lt;4,1,0)),Lists!$B$5:$B$30,0))/INDEX(Lists!$C$5:$C$30,MATCH(MAX(2001,YEAR(C18)-IF(MONTH(C18)&lt;4,1,0)),Lists!$B$5:$B$30,0)),0),""))</f>
        <v/>
      </c>
      <c r="O18" s="20" t="str">
        <f aca="false">IF(N18="","",E18-F18-N18)</f>
        <v/>
      </c>
      <c r="P18" s="21" t="str">
        <f aca="false">IF(K18="","",IF(K18="Short",IF(B18=Lists!$E$5,"ST 20%","ST slab"),IF(B18=Lists!$E$5,"LT 112A",IF(N18="","LT 12.5%",IF(AND(M18&gt;0,O18*0.2&lt;M18*0.125),"LT 20% indexed","LT 12.5%")))))</f>
        <v/>
      </c>
      <c r="Q18" s="22" t="str">
        <f aca="false">IF(P18="","",IF(P18="LT 20% indexed",MAX(0,O18),M18))</f>
        <v/>
      </c>
    </row>
    <row r="19" customFormat="false" ht="15" hidden="false" customHeight="true" outlineLevel="0" collapsed="false">
      <c r="A19" s="23"/>
      <c r="B19" s="23"/>
      <c r="C19" s="24"/>
      <c r="D19" s="24"/>
      <c r="E19" s="25"/>
      <c r="F19" s="25"/>
      <c r="G19" s="25"/>
      <c r="H19" s="25"/>
      <c r="I19" s="25"/>
      <c r="J19" s="20" t="str">
        <f aca="false">IF(OR(B19="",C19="",D19=""),"",DATEDIF(C19,D19,"m"))</f>
        <v/>
      </c>
      <c r="K19" s="21" t="str">
        <f aca="false">IF(OR(B19="",C19="",D19=""),"",IF(B19=Lists!$E$10,"Short",IF(D19&gt;EDATE(C19,IF(OR(B19=Lists!$E$5,B19=Lists!$E$6),12,24)),"Long","Short")))</f>
        <v/>
      </c>
      <c r="L19" s="20" t="str">
        <f aca="false">IF(K19="","",IF(AND(B19=Lists!$E$5,K19="Long",C19&lt;DATE(2018,2,1),N(I19)&gt;0),MAX(G19,MIN(I19,E19)),IF(AND(C19&lt;DATE(2001,4,1),N(I19)&gt;0,B19&lt;&gt;Lists!$E$5),I19,G19)))</f>
        <v/>
      </c>
      <c r="M19" s="20" t="str">
        <f aca="false">IF(K19="","",E19-F19-L19-H19)</f>
        <v/>
      </c>
      <c r="N19" s="20" t="str">
        <f aca="false">IF(K19="","",IF(AND(K19="Long",B19=Lists!$E$7,C19&lt;DATE(2024,7,23)),ROUND((L19+H19)*INDEX(Lists!$C$5:$C$30,MATCH(MIN(MAX(Lists!$B$5:$B$30),YEAR(D19)-IF(MONTH(D19)&lt;4,1,0)),Lists!$B$5:$B$30,0))/INDEX(Lists!$C$5:$C$30,MATCH(MAX(2001,YEAR(C19)-IF(MONTH(C19)&lt;4,1,0)),Lists!$B$5:$B$30,0)),0),""))</f>
        <v/>
      </c>
      <c r="O19" s="20" t="str">
        <f aca="false">IF(N19="","",E19-F19-N19)</f>
        <v/>
      </c>
      <c r="P19" s="21" t="str">
        <f aca="false">IF(K19="","",IF(K19="Short",IF(B19=Lists!$E$5,"ST 20%","ST slab"),IF(B19=Lists!$E$5,"LT 112A",IF(N19="","LT 12.5%",IF(AND(M19&gt;0,O19*0.2&lt;M19*0.125),"LT 20% indexed","LT 12.5%")))))</f>
        <v/>
      </c>
      <c r="Q19" s="22" t="str">
        <f aca="false">IF(P19="","",IF(P19="LT 20% indexed",MAX(0,O19),M19))</f>
        <v/>
      </c>
    </row>
    <row r="20" customFormat="false" ht="15" hidden="false" customHeight="true" outlineLevel="0" collapsed="false">
      <c r="A20" s="23"/>
      <c r="B20" s="23"/>
      <c r="C20" s="24"/>
      <c r="D20" s="24"/>
      <c r="E20" s="25"/>
      <c r="F20" s="25"/>
      <c r="G20" s="25"/>
      <c r="H20" s="25"/>
      <c r="I20" s="25"/>
      <c r="J20" s="20" t="str">
        <f aca="false">IF(OR(B20="",C20="",D20=""),"",DATEDIF(C20,D20,"m"))</f>
        <v/>
      </c>
      <c r="K20" s="21" t="str">
        <f aca="false">IF(OR(B20="",C20="",D20=""),"",IF(B20=Lists!$E$10,"Short",IF(D20&gt;EDATE(C20,IF(OR(B20=Lists!$E$5,B20=Lists!$E$6),12,24)),"Long","Short")))</f>
        <v/>
      </c>
      <c r="L20" s="20" t="str">
        <f aca="false">IF(K20="","",IF(AND(B20=Lists!$E$5,K20="Long",C20&lt;DATE(2018,2,1),N(I20)&gt;0),MAX(G20,MIN(I20,E20)),IF(AND(C20&lt;DATE(2001,4,1),N(I20)&gt;0,B20&lt;&gt;Lists!$E$5),I20,G20)))</f>
        <v/>
      </c>
      <c r="M20" s="20" t="str">
        <f aca="false">IF(K20="","",E20-F20-L20-H20)</f>
        <v/>
      </c>
      <c r="N20" s="20" t="str">
        <f aca="false">IF(K20="","",IF(AND(K20="Long",B20=Lists!$E$7,C20&lt;DATE(2024,7,23)),ROUND((L20+H20)*INDEX(Lists!$C$5:$C$30,MATCH(MIN(MAX(Lists!$B$5:$B$30),YEAR(D20)-IF(MONTH(D20)&lt;4,1,0)),Lists!$B$5:$B$30,0))/INDEX(Lists!$C$5:$C$30,MATCH(MAX(2001,YEAR(C20)-IF(MONTH(C20)&lt;4,1,0)),Lists!$B$5:$B$30,0)),0),""))</f>
        <v/>
      </c>
      <c r="O20" s="20" t="str">
        <f aca="false">IF(N20="","",E20-F20-N20)</f>
        <v/>
      </c>
      <c r="P20" s="21" t="str">
        <f aca="false">IF(K20="","",IF(K20="Short",IF(B20=Lists!$E$5,"ST 20%","ST slab"),IF(B20=Lists!$E$5,"LT 112A",IF(N20="","LT 12.5%",IF(AND(M20&gt;0,O20*0.2&lt;M20*0.125),"LT 20% indexed","LT 12.5%")))))</f>
        <v/>
      </c>
      <c r="Q20" s="22" t="str">
        <f aca="false">IF(P20="","",IF(P20="LT 20% indexed",MAX(0,O20),M20))</f>
        <v/>
      </c>
    </row>
    <row r="21" customFormat="false" ht="15" hidden="false" customHeight="true" outlineLevel="0" collapsed="false">
      <c r="A21" s="23"/>
      <c r="B21" s="23"/>
      <c r="C21" s="24"/>
      <c r="D21" s="24"/>
      <c r="E21" s="25"/>
      <c r="F21" s="25"/>
      <c r="G21" s="25"/>
      <c r="H21" s="25"/>
      <c r="I21" s="25"/>
      <c r="J21" s="20" t="str">
        <f aca="false">IF(OR(B21="",C21="",D21=""),"",DATEDIF(C21,D21,"m"))</f>
        <v/>
      </c>
      <c r="K21" s="21" t="str">
        <f aca="false">IF(OR(B21="",C21="",D21=""),"",IF(B21=Lists!$E$10,"Short",IF(D21&gt;EDATE(C21,IF(OR(B21=Lists!$E$5,B21=Lists!$E$6),12,24)),"Long","Short")))</f>
        <v/>
      </c>
      <c r="L21" s="20" t="str">
        <f aca="false">IF(K21="","",IF(AND(B21=Lists!$E$5,K21="Long",C21&lt;DATE(2018,2,1),N(I21)&gt;0),MAX(G21,MIN(I21,E21)),IF(AND(C21&lt;DATE(2001,4,1),N(I21)&gt;0,B21&lt;&gt;Lists!$E$5),I21,G21)))</f>
        <v/>
      </c>
      <c r="M21" s="20" t="str">
        <f aca="false">IF(K21="","",E21-F21-L21-H21)</f>
        <v/>
      </c>
      <c r="N21" s="20" t="str">
        <f aca="false">IF(K21="","",IF(AND(K21="Long",B21=Lists!$E$7,C21&lt;DATE(2024,7,23)),ROUND((L21+H21)*INDEX(Lists!$C$5:$C$30,MATCH(MIN(MAX(Lists!$B$5:$B$30),YEAR(D21)-IF(MONTH(D21)&lt;4,1,0)),Lists!$B$5:$B$30,0))/INDEX(Lists!$C$5:$C$30,MATCH(MAX(2001,YEAR(C21)-IF(MONTH(C21)&lt;4,1,0)),Lists!$B$5:$B$30,0)),0),""))</f>
        <v/>
      </c>
      <c r="O21" s="20" t="str">
        <f aca="false">IF(N21="","",E21-F21-N21)</f>
        <v/>
      </c>
      <c r="P21" s="21" t="str">
        <f aca="false">IF(K21="","",IF(K21="Short",IF(B21=Lists!$E$5,"ST 20%","ST slab"),IF(B21=Lists!$E$5,"LT 112A",IF(N21="","LT 12.5%",IF(AND(M21&gt;0,O21*0.2&lt;M21*0.125),"LT 20% indexed","LT 12.5%")))))</f>
        <v/>
      </c>
      <c r="Q21" s="22" t="str">
        <f aca="false">IF(P21="","",IF(P21="LT 20% indexed",MAX(0,O21),M21))</f>
        <v/>
      </c>
    </row>
    <row r="22" customFormat="false" ht="15" hidden="false" customHeight="true" outlineLevel="0" collapsed="false">
      <c r="A22" s="23"/>
      <c r="B22" s="23"/>
      <c r="C22" s="24"/>
      <c r="D22" s="24"/>
      <c r="E22" s="25"/>
      <c r="F22" s="25"/>
      <c r="G22" s="25"/>
      <c r="H22" s="25"/>
      <c r="I22" s="25"/>
      <c r="J22" s="20" t="str">
        <f aca="false">IF(OR(B22="",C22="",D22=""),"",DATEDIF(C22,D22,"m"))</f>
        <v/>
      </c>
      <c r="K22" s="21" t="str">
        <f aca="false">IF(OR(B22="",C22="",D22=""),"",IF(B22=Lists!$E$10,"Short",IF(D22&gt;EDATE(C22,IF(OR(B22=Lists!$E$5,B22=Lists!$E$6),12,24)),"Long","Short")))</f>
        <v/>
      </c>
      <c r="L22" s="20" t="str">
        <f aca="false">IF(K22="","",IF(AND(B22=Lists!$E$5,K22="Long",C22&lt;DATE(2018,2,1),N(I22)&gt;0),MAX(G22,MIN(I22,E22)),IF(AND(C22&lt;DATE(2001,4,1),N(I22)&gt;0,B22&lt;&gt;Lists!$E$5),I22,G22)))</f>
        <v/>
      </c>
      <c r="M22" s="20" t="str">
        <f aca="false">IF(K22="","",E22-F22-L22-H22)</f>
        <v/>
      </c>
      <c r="N22" s="20" t="str">
        <f aca="false">IF(K22="","",IF(AND(K22="Long",B22=Lists!$E$7,C22&lt;DATE(2024,7,23)),ROUND((L22+H22)*INDEX(Lists!$C$5:$C$30,MATCH(MIN(MAX(Lists!$B$5:$B$30),YEAR(D22)-IF(MONTH(D22)&lt;4,1,0)),Lists!$B$5:$B$30,0))/INDEX(Lists!$C$5:$C$30,MATCH(MAX(2001,YEAR(C22)-IF(MONTH(C22)&lt;4,1,0)),Lists!$B$5:$B$30,0)),0),""))</f>
        <v/>
      </c>
      <c r="O22" s="20" t="str">
        <f aca="false">IF(N22="","",E22-F22-N22)</f>
        <v/>
      </c>
      <c r="P22" s="21" t="str">
        <f aca="false">IF(K22="","",IF(K22="Short",IF(B22=Lists!$E$5,"ST 20%","ST slab"),IF(B22=Lists!$E$5,"LT 112A",IF(N22="","LT 12.5%",IF(AND(M22&gt;0,O22*0.2&lt;M22*0.125),"LT 20% indexed","LT 12.5%")))))</f>
        <v/>
      </c>
      <c r="Q22" s="22" t="str">
        <f aca="false">IF(P22="","",IF(P22="LT 20% indexed",MAX(0,O22),M22))</f>
        <v/>
      </c>
    </row>
    <row r="23" customFormat="false" ht="15" hidden="false" customHeight="true" outlineLevel="0" collapsed="false">
      <c r="A23" s="23"/>
      <c r="B23" s="23"/>
      <c r="C23" s="24"/>
      <c r="D23" s="24"/>
      <c r="E23" s="25"/>
      <c r="F23" s="25"/>
      <c r="G23" s="25"/>
      <c r="H23" s="25"/>
      <c r="I23" s="25"/>
      <c r="J23" s="20" t="str">
        <f aca="false">IF(OR(B23="",C23="",D23=""),"",DATEDIF(C23,D23,"m"))</f>
        <v/>
      </c>
      <c r="K23" s="21" t="str">
        <f aca="false">IF(OR(B23="",C23="",D23=""),"",IF(B23=Lists!$E$10,"Short",IF(D23&gt;EDATE(C23,IF(OR(B23=Lists!$E$5,B23=Lists!$E$6),12,24)),"Long","Short")))</f>
        <v/>
      </c>
      <c r="L23" s="20" t="str">
        <f aca="false">IF(K23="","",IF(AND(B23=Lists!$E$5,K23="Long",C23&lt;DATE(2018,2,1),N(I23)&gt;0),MAX(G23,MIN(I23,E23)),IF(AND(C23&lt;DATE(2001,4,1),N(I23)&gt;0,B23&lt;&gt;Lists!$E$5),I23,G23)))</f>
        <v/>
      </c>
      <c r="M23" s="20" t="str">
        <f aca="false">IF(K23="","",E23-F23-L23-H23)</f>
        <v/>
      </c>
      <c r="N23" s="20" t="str">
        <f aca="false">IF(K23="","",IF(AND(K23="Long",B23=Lists!$E$7,C23&lt;DATE(2024,7,23)),ROUND((L23+H23)*INDEX(Lists!$C$5:$C$30,MATCH(MIN(MAX(Lists!$B$5:$B$30),YEAR(D23)-IF(MONTH(D23)&lt;4,1,0)),Lists!$B$5:$B$30,0))/INDEX(Lists!$C$5:$C$30,MATCH(MAX(2001,YEAR(C23)-IF(MONTH(C23)&lt;4,1,0)),Lists!$B$5:$B$30,0)),0),""))</f>
        <v/>
      </c>
      <c r="O23" s="20" t="str">
        <f aca="false">IF(N23="","",E23-F23-N23)</f>
        <v/>
      </c>
      <c r="P23" s="21" t="str">
        <f aca="false">IF(K23="","",IF(K23="Short",IF(B23=Lists!$E$5,"ST 20%","ST slab"),IF(B23=Lists!$E$5,"LT 112A",IF(N23="","LT 12.5%",IF(AND(M23&gt;0,O23*0.2&lt;M23*0.125),"LT 20% indexed","LT 12.5%")))))</f>
        <v/>
      </c>
      <c r="Q23" s="22" t="str">
        <f aca="false">IF(P23="","",IF(P23="LT 20% indexed",MAX(0,O23),M23))</f>
        <v/>
      </c>
    </row>
    <row r="24" customFormat="false" ht="15" hidden="false" customHeight="true" outlineLevel="0" collapsed="false">
      <c r="A24" s="23"/>
      <c r="B24" s="23"/>
      <c r="C24" s="24"/>
      <c r="D24" s="24"/>
      <c r="E24" s="25"/>
      <c r="F24" s="25"/>
      <c r="G24" s="25"/>
      <c r="H24" s="25"/>
      <c r="I24" s="25"/>
      <c r="J24" s="20" t="str">
        <f aca="false">IF(OR(B24="",C24="",D24=""),"",DATEDIF(C24,D24,"m"))</f>
        <v/>
      </c>
      <c r="K24" s="21" t="str">
        <f aca="false">IF(OR(B24="",C24="",D24=""),"",IF(B24=Lists!$E$10,"Short",IF(D24&gt;EDATE(C24,IF(OR(B24=Lists!$E$5,B24=Lists!$E$6),12,24)),"Long","Short")))</f>
        <v/>
      </c>
      <c r="L24" s="20" t="str">
        <f aca="false">IF(K24="","",IF(AND(B24=Lists!$E$5,K24="Long",C24&lt;DATE(2018,2,1),N(I24)&gt;0),MAX(G24,MIN(I24,E24)),IF(AND(C24&lt;DATE(2001,4,1),N(I24)&gt;0,B24&lt;&gt;Lists!$E$5),I24,G24)))</f>
        <v/>
      </c>
      <c r="M24" s="20" t="str">
        <f aca="false">IF(K24="","",E24-F24-L24-H24)</f>
        <v/>
      </c>
      <c r="N24" s="20" t="str">
        <f aca="false">IF(K24="","",IF(AND(K24="Long",B24=Lists!$E$7,C24&lt;DATE(2024,7,23)),ROUND((L24+H24)*INDEX(Lists!$C$5:$C$30,MATCH(MIN(MAX(Lists!$B$5:$B$30),YEAR(D24)-IF(MONTH(D24)&lt;4,1,0)),Lists!$B$5:$B$30,0))/INDEX(Lists!$C$5:$C$30,MATCH(MAX(2001,YEAR(C24)-IF(MONTH(C24)&lt;4,1,0)),Lists!$B$5:$B$30,0)),0),""))</f>
        <v/>
      </c>
      <c r="O24" s="20" t="str">
        <f aca="false">IF(N24="","",E24-F24-N24)</f>
        <v/>
      </c>
      <c r="P24" s="21" t="str">
        <f aca="false">IF(K24="","",IF(K24="Short",IF(B24=Lists!$E$5,"ST 20%","ST slab"),IF(B24=Lists!$E$5,"LT 112A",IF(N24="","LT 12.5%",IF(AND(M24&gt;0,O24*0.2&lt;M24*0.125),"LT 20% indexed","LT 12.5%")))))</f>
        <v/>
      </c>
      <c r="Q24" s="22" t="str">
        <f aca="false">IF(P24="","",IF(P24="LT 20% indexed",MAX(0,O24),M24))</f>
        <v/>
      </c>
    </row>
    <row r="25" customFormat="false" ht="15" hidden="false" customHeight="true" outlineLevel="0" collapsed="false">
      <c r="A25" s="23"/>
      <c r="B25" s="23"/>
      <c r="C25" s="24"/>
      <c r="D25" s="24"/>
      <c r="E25" s="25"/>
      <c r="F25" s="25"/>
      <c r="G25" s="25"/>
      <c r="H25" s="25"/>
      <c r="I25" s="25"/>
      <c r="J25" s="20" t="str">
        <f aca="false">IF(OR(B25="",C25="",D25=""),"",DATEDIF(C25,D25,"m"))</f>
        <v/>
      </c>
      <c r="K25" s="21" t="str">
        <f aca="false">IF(OR(B25="",C25="",D25=""),"",IF(B25=Lists!$E$10,"Short",IF(D25&gt;EDATE(C25,IF(OR(B25=Lists!$E$5,B25=Lists!$E$6),12,24)),"Long","Short")))</f>
        <v/>
      </c>
      <c r="L25" s="20" t="str">
        <f aca="false">IF(K25="","",IF(AND(B25=Lists!$E$5,K25="Long",C25&lt;DATE(2018,2,1),N(I25)&gt;0),MAX(G25,MIN(I25,E25)),IF(AND(C25&lt;DATE(2001,4,1),N(I25)&gt;0,B25&lt;&gt;Lists!$E$5),I25,G25)))</f>
        <v/>
      </c>
      <c r="M25" s="20" t="str">
        <f aca="false">IF(K25="","",E25-F25-L25-H25)</f>
        <v/>
      </c>
      <c r="N25" s="20" t="str">
        <f aca="false">IF(K25="","",IF(AND(K25="Long",B25=Lists!$E$7,C25&lt;DATE(2024,7,23)),ROUND((L25+H25)*INDEX(Lists!$C$5:$C$30,MATCH(MIN(MAX(Lists!$B$5:$B$30),YEAR(D25)-IF(MONTH(D25)&lt;4,1,0)),Lists!$B$5:$B$30,0))/INDEX(Lists!$C$5:$C$30,MATCH(MAX(2001,YEAR(C25)-IF(MONTH(C25)&lt;4,1,0)),Lists!$B$5:$B$30,0)),0),""))</f>
        <v/>
      </c>
      <c r="O25" s="20" t="str">
        <f aca="false">IF(N25="","",E25-F25-N25)</f>
        <v/>
      </c>
      <c r="P25" s="21" t="str">
        <f aca="false">IF(K25="","",IF(K25="Short",IF(B25=Lists!$E$5,"ST 20%","ST slab"),IF(B25=Lists!$E$5,"LT 112A",IF(N25="","LT 12.5%",IF(AND(M25&gt;0,O25*0.2&lt;M25*0.125),"LT 20% indexed","LT 12.5%")))))</f>
        <v/>
      </c>
      <c r="Q25" s="22" t="str">
        <f aca="false">IF(P25="","",IF(P25="LT 20% indexed",MAX(0,O25),M25))</f>
        <v/>
      </c>
    </row>
    <row r="26" customFormat="false" ht="15" hidden="false" customHeight="true" outlineLevel="0" collapsed="false">
      <c r="A26" s="23"/>
      <c r="B26" s="23"/>
      <c r="C26" s="24"/>
      <c r="D26" s="24"/>
      <c r="E26" s="25"/>
      <c r="F26" s="25"/>
      <c r="G26" s="25"/>
      <c r="H26" s="25"/>
      <c r="I26" s="25"/>
      <c r="J26" s="20" t="str">
        <f aca="false">IF(OR(B26="",C26="",D26=""),"",DATEDIF(C26,D26,"m"))</f>
        <v/>
      </c>
      <c r="K26" s="21" t="str">
        <f aca="false">IF(OR(B26="",C26="",D26=""),"",IF(B26=Lists!$E$10,"Short",IF(D26&gt;EDATE(C26,IF(OR(B26=Lists!$E$5,B26=Lists!$E$6),12,24)),"Long","Short")))</f>
        <v/>
      </c>
      <c r="L26" s="20" t="str">
        <f aca="false">IF(K26="","",IF(AND(B26=Lists!$E$5,K26="Long",C26&lt;DATE(2018,2,1),N(I26)&gt;0),MAX(G26,MIN(I26,E26)),IF(AND(C26&lt;DATE(2001,4,1),N(I26)&gt;0,B26&lt;&gt;Lists!$E$5),I26,G26)))</f>
        <v/>
      </c>
      <c r="M26" s="20" t="str">
        <f aca="false">IF(K26="","",E26-F26-L26-H26)</f>
        <v/>
      </c>
      <c r="N26" s="20" t="str">
        <f aca="false">IF(K26="","",IF(AND(K26="Long",B26=Lists!$E$7,C26&lt;DATE(2024,7,23)),ROUND((L26+H26)*INDEX(Lists!$C$5:$C$30,MATCH(MIN(MAX(Lists!$B$5:$B$30),YEAR(D26)-IF(MONTH(D26)&lt;4,1,0)),Lists!$B$5:$B$30,0))/INDEX(Lists!$C$5:$C$30,MATCH(MAX(2001,YEAR(C26)-IF(MONTH(C26)&lt;4,1,0)),Lists!$B$5:$B$30,0)),0),""))</f>
        <v/>
      </c>
      <c r="O26" s="20" t="str">
        <f aca="false">IF(N26="","",E26-F26-N26)</f>
        <v/>
      </c>
      <c r="P26" s="21" t="str">
        <f aca="false">IF(K26="","",IF(K26="Short",IF(B26=Lists!$E$5,"ST 20%","ST slab"),IF(B26=Lists!$E$5,"LT 112A",IF(N26="","LT 12.5%",IF(AND(M26&gt;0,O26*0.2&lt;M26*0.125),"LT 20% indexed","LT 12.5%")))))</f>
        <v/>
      </c>
      <c r="Q26" s="22" t="str">
        <f aca="false">IF(P26="","",IF(P26="LT 20% indexed",MAX(0,O26),M26))</f>
        <v/>
      </c>
    </row>
    <row r="27" customFormat="false" ht="15" hidden="false" customHeight="true" outlineLevel="0" collapsed="false">
      <c r="A27" s="23"/>
      <c r="B27" s="23"/>
      <c r="C27" s="24"/>
      <c r="D27" s="24"/>
      <c r="E27" s="25"/>
      <c r="F27" s="25"/>
      <c r="G27" s="25"/>
      <c r="H27" s="25"/>
      <c r="I27" s="25"/>
      <c r="J27" s="20" t="str">
        <f aca="false">IF(OR(B27="",C27="",D27=""),"",DATEDIF(C27,D27,"m"))</f>
        <v/>
      </c>
      <c r="K27" s="21" t="str">
        <f aca="false">IF(OR(B27="",C27="",D27=""),"",IF(B27=Lists!$E$10,"Short",IF(D27&gt;EDATE(C27,IF(OR(B27=Lists!$E$5,B27=Lists!$E$6),12,24)),"Long","Short")))</f>
        <v/>
      </c>
      <c r="L27" s="20" t="str">
        <f aca="false">IF(K27="","",IF(AND(B27=Lists!$E$5,K27="Long",C27&lt;DATE(2018,2,1),N(I27)&gt;0),MAX(G27,MIN(I27,E27)),IF(AND(C27&lt;DATE(2001,4,1),N(I27)&gt;0,B27&lt;&gt;Lists!$E$5),I27,G27)))</f>
        <v/>
      </c>
      <c r="M27" s="20" t="str">
        <f aca="false">IF(K27="","",E27-F27-L27-H27)</f>
        <v/>
      </c>
      <c r="N27" s="20" t="str">
        <f aca="false">IF(K27="","",IF(AND(K27="Long",B27=Lists!$E$7,C27&lt;DATE(2024,7,23)),ROUND((L27+H27)*INDEX(Lists!$C$5:$C$30,MATCH(MIN(MAX(Lists!$B$5:$B$30),YEAR(D27)-IF(MONTH(D27)&lt;4,1,0)),Lists!$B$5:$B$30,0))/INDEX(Lists!$C$5:$C$30,MATCH(MAX(2001,YEAR(C27)-IF(MONTH(C27)&lt;4,1,0)),Lists!$B$5:$B$30,0)),0),""))</f>
        <v/>
      </c>
      <c r="O27" s="20" t="str">
        <f aca="false">IF(N27="","",E27-F27-N27)</f>
        <v/>
      </c>
      <c r="P27" s="21" t="str">
        <f aca="false">IF(K27="","",IF(K27="Short",IF(B27=Lists!$E$5,"ST 20%","ST slab"),IF(B27=Lists!$E$5,"LT 112A",IF(N27="","LT 12.5%",IF(AND(M27&gt;0,O27*0.2&lt;M27*0.125),"LT 20% indexed","LT 12.5%")))))</f>
        <v/>
      </c>
      <c r="Q27" s="22" t="str">
        <f aca="false">IF(P27="","",IF(P27="LT 20% indexed",MAX(0,O27),M27))</f>
        <v/>
      </c>
    </row>
    <row r="28" customFormat="false" ht="15" hidden="false" customHeight="true" outlineLevel="0" collapsed="false">
      <c r="A28" s="23"/>
      <c r="B28" s="23"/>
      <c r="C28" s="24"/>
      <c r="D28" s="24"/>
      <c r="E28" s="25"/>
      <c r="F28" s="25"/>
      <c r="G28" s="25"/>
      <c r="H28" s="25"/>
      <c r="I28" s="25"/>
      <c r="J28" s="20" t="str">
        <f aca="false">IF(OR(B28="",C28="",D28=""),"",DATEDIF(C28,D28,"m"))</f>
        <v/>
      </c>
      <c r="K28" s="21" t="str">
        <f aca="false">IF(OR(B28="",C28="",D28=""),"",IF(B28=Lists!$E$10,"Short",IF(D28&gt;EDATE(C28,IF(OR(B28=Lists!$E$5,B28=Lists!$E$6),12,24)),"Long","Short")))</f>
        <v/>
      </c>
      <c r="L28" s="20" t="str">
        <f aca="false">IF(K28="","",IF(AND(B28=Lists!$E$5,K28="Long",C28&lt;DATE(2018,2,1),N(I28)&gt;0),MAX(G28,MIN(I28,E28)),IF(AND(C28&lt;DATE(2001,4,1),N(I28)&gt;0,B28&lt;&gt;Lists!$E$5),I28,G28)))</f>
        <v/>
      </c>
      <c r="M28" s="20" t="str">
        <f aca="false">IF(K28="","",E28-F28-L28-H28)</f>
        <v/>
      </c>
      <c r="N28" s="20" t="str">
        <f aca="false">IF(K28="","",IF(AND(K28="Long",B28=Lists!$E$7,C28&lt;DATE(2024,7,23)),ROUND((L28+H28)*INDEX(Lists!$C$5:$C$30,MATCH(MIN(MAX(Lists!$B$5:$B$30),YEAR(D28)-IF(MONTH(D28)&lt;4,1,0)),Lists!$B$5:$B$30,0))/INDEX(Lists!$C$5:$C$30,MATCH(MAX(2001,YEAR(C28)-IF(MONTH(C28)&lt;4,1,0)),Lists!$B$5:$B$30,0)),0),""))</f>
        <v/>
      </c>
      <c r="O28" s="20" t="str">
        <f aca="false">IF(N28="","",E28-F28-N28)</f>
        <v/>
      </c>
      <c r="P28" s="21" t="str">
        <f aca="false">IF(K28="","",IF(K28="Short",IF(B28=Lists!$E$5,"ST 20%","ST slab"),IF(B28=Lists!$E$5,"LT 112A",IF(N28="","LT 12.5%",IF(AND(M28&gt;0,O28*0.2&lt;M28*0.125),"LT 20% indexed","LT 12.5%")))))</f>
        <v/>
      </c>
      <c r="Q28" s="22" t="str">
        <f aca="false">IF(P28="","",IF(P28="LT 20% indexed",MAX(0,O28),M28))</f>
        <v/>
      </c>
    </row>
    <row r="29" customFormat="false" ht="15" hidden="false" customHeight="true" outlineLevel="0" collapsed="false">
      <c r="A29" s="23"/>
      <c r="B29" s="23"/>
      <c r="C29" s="24"/>
      <c r="D29" s="24"/>
      <c r="E29" s="25"/>
      <c r="F29" s="25"/>
      <c r="G29" s="25"/>
      <c r="H29" s="25"/>
      <c r="I29" s="25"/>
      <c r="J29" s="20" t="str">
        <f aca="false">IF(OR(B29="",C29="",D29=""),"",DATEDIF(C29,D29,"m"))</f>
        <v/>
      </c>
      <c r="K29" s="21" t="str">
        <f aca="false">IF(OR(B29="",C29="",D29=""),"",IF(B29=Lists!$E$10,"Short",IF(D29&gt;EDATE(C29,IF(OR(B29=Lists!$E$5,B29=Lists!$E$6),12,24)),"Long","Short")))</f>
        <v/>
      </c>
      <c r="L29" s="20" t="str">
        <f aca="false">IF(K29="","",IF(AND(B29=Lists!$E$5,K29="Long",C29&lt;DATE(2018,2,1),N(I29)&gt;0),MAX(G29,MIN(I29,E29)),IF(AND(C29&lt;DATE(2001,4,1),N(I29)&gt;0,B29&lt;&gt;Lists!$E$5),I29,G29)))</f>
        <v/>
      </c>
      <c r="M29" s="20" t="str">
        <f aca="false">IF(K29="","",E29-F29-L29-H29)</f>
        <v/>
      </c>
      <c r="N29" s="20" t="str">
        <f aca="false">IF(K29="","",IF(AND(K29="Long",B29=Lists!$E$7,C29&lt;DATE(2024,7,23)),ROUND((L29+H29)*INDEX(Lists!$C$5:$C$30,MATCH(MIN(MAX(Lists!$B$5:$B$30),YEAR(D29)-IF(MONTH(D29)&lt;4,1,0)),Lists!$B$5:$B$30,0))/INDEX(Lists!$C$5:$C$30,MATCH(MAX(2001,YEAR(C29)-IF(MONTH(C29)&lt;4,1,0)),Lists!$B$5:$B$30,0)),0),""))</f>
        <v/>
      </c>
      <c r="O29" s="20" t="str">
        <f aca="false">IF(N29="","",E29-F29-N29)</f>
        <v/>
      </c>
      <c r="P29" s="21" t="str">
        <f aca="false">IF(K29="","",IF(K29="Short",IF(B29=Lists!$E$5,"ST 20%","ST slab"),IF(B29=Lists!$E$5,"LT 112A",IF(N29="","LT 12.5%",IF(AND(M29&gt;0,O29*0.2&lt;M29*0.125),"LT 20% indexed","LT 12.5%")))))</f>
        <v/>
      </c>
      <c r="Q29" s="22" t="str">
        <f aca="false">IF(P29="","",IF(P29="LT 20% indexed",MAX(0,O29),M29))</f>
        <v/>
      </c>
    </row>
    <row r="30" customFormat="false" ht="15" hidden="false" customHeight="true" outlineLevel="0" collapsed="false">
      <c r="A30" s="23"/>
      <c r="B30" s="23"/>
      <c r="C30" s="24"/>
      <c r="D30" s="24"/>
      <c r="E30" s="25"/>
      <c r="F30" s="25"/>
      <c r="G30" s="25"/>
      <c r="H30" s="25"/>
      <c r="I30" s="25"/>
      <c r="J30" s="20" t="str">
        <f aca="false">IF(OR(B30="",C30="",D30=""),"",DATEDIF(C30,D30,"m"))</f>
        <v/>
      </c>
      <c r="K30" s="21" t="str">
        <f aca="false">IF(OR(B30="",C30="",D30=""),"",IF(B30=Lists!$E$10,"Short",IF(D30&gt;EDATE(C30,IF(OR(B30=Lists!$E$5,B30=Lists!$E$6),12,24)),"Long","Short")))</f>
        <v/>
      </c>
      <c r="L30" s="20" t="str">
        <f aca="false">IF(K30="","",IF(AND(B30=Lists!$E$5,K30="Long",C30&lt;DATE(2018,2,1),N(I30)&gt;0),MAX(G30,MIN(I30,E30)),IF(AND(C30&lt;DATE(2001,4,1),N(I30)&gt;0,B30&lt;&gt;Lists!$E$5),I30,G30)))</f>
        <v/>
      </c>
      <c r="M30" s="20" t="str">
        <f aca="false">IF(K30="","",E30-F30-L30-H30)</f>
        <v/>
      </c>
      <c r="N30" s="20" t="str">
        <f aca="false">IF(K30="","",IF(AND(K30="Long",B30=Lists!$E$7,C30&lt;DATE(2024,7,23)),ROUND((L30+H30)*INDEX(Lists!$C$5:$C$30,MATCH(MIN(MAX(Lists!$B$5:$B$30),YEAR(D30)-IF(MONTH(D30)&lt;4,1,0)),Lists!$B$5:$B$30,0))/INDEX(Lists!$C$5:$C$30,MATCH(MAX(2001,YEAR(C30)-IF(MONTH(C30)&lt;4,1,0)),Lists!$B$5:$B$30,0)),0),""))</f>
        <v/>
      </c>
      <c r="O30" s="20" t="str">
        <f aca="false">IF(N30="","",E30-F30-N30)</f>
        <v/>
      </c>
      <c r="P30" s="21" t="str">
        <f aca="false">IF(K30="","",IF(K30="Short",IF(B30=Lists!$E$5,"ST 20%","ST slab"),IF(B30=Lists!$E$5,"LT 112A",IF(N30="","LT 12.5%",IF(AND(M30&gt;0,O30*0.2&lt;M30*0.125),"LT 20% indexed","LT 12.5%")))))</f>
        <v/>
      </c>
      <c r="Q30" s="22" t="str">
        <f aca="false">IF(P30="","",IF(P30="LT 20% indexed",MAX(0,O30),M30))</f>
        <v/>
      </c>
    </row>
    <row r="31" customFormat="false" ht="15" hidden="false" customHeight="true" outlineLevel="0" collapsed="false">
      <c r="A31" s="23"/>
      <c r="B31" s="23"/>
      <c r="C31" s="24"/>
      <c r="D31" s="24"/>
      <c r="E31" s="25"/>
      <c r="F31" s="25"/>
      <c r="G31" s="25"/>
      <c r="H31" s="25"/>
      <c r="I31" s="25"/>
      <c r="J31" s="20" t="str">
        <f aca="false">IF(OR(B31="",C31="",D31=""),"",DATEDIF(C31,D31,"m"))</f>
        <v/>
      </c>
      <c r="K31" s="21" t="str">
        <f aca="false">IF(OR(B31="",C31="",D31=""),"",IF(B31=Lists!$E$10,"Short",IF(D31&gt;EDATE(C31,IF(OR(B31=Lists!$E$5,B31=Lists!$E$6),12,24)),"Long","Short")))</f>
        <v/>
      </c>
      <c r="L31" s="20" t="str">
        <f aca="false">IF(K31="","",IF(AND(B31=Lists!$E$5,K31="Long",C31&lt;DATE(2018,2,1),N(I31)&gt;0),MAX(G31,MIN(I31,E31)),IF(AND(C31&lt;DATE(2001,4,1),N(I31)&gt;0,B31&lt;&gt;Lists!$E$5),I31,G31)))</f>
        <v/>
      </c>
      <c r="M31" s="20" t="str">
        <f aca="false">IF(K31="","",E31-F31-L31-H31)</f>
        <v/>
      </c>
      <c r="N31" s="20" t="str">
        <f aca="false">IF(K31="","",IF(AND(K31="Long",B31=Lists!$E$7,C31&lt;DATE(2024,7,23)),ROUND((L31+H31)*INDEX(Lists!$C$5:$C$30,MATCH(MIN(MAX(Lists!$B$5:$B$30),YEAR(D31)-IF(MONTH(D31)&lt;4,1,0)),Lists!$B$5:$B$30,0))/INDEX(Lists!$C$5:$C$30,MATCH(MAX(2001,YEAR(C31)-IF(MONTH(C31)&lt;4,1,0)),Lists!$B$5:$B$30,0)),0),""))</f>
        <v/>
      </c>
      <c r="O31" s="20" t="str">
        <f aca="false">IF(N31="","",E31-F31-N31)</f>
        <v/>
      </c>
      <c r="P31" s="21" t="str">
        <f aca="false">IF(K31="","",IF(K31="Short",IF(B31=Lists!$E$5,"ST 20%","ST slab"),IF(B31=Lists!$E$5,"LT 112A",IF(N31="","LT 12.5%",IF(AND(M31&gt;0,O31*0.2&lt;M31*0.125),"LT 20% indexed","LT 12.5%")))))</f>
        <v/>
      </c>
      <c r="Q31" s="22" t="str">
        <f aca="false">IF(P31="","",IF(P31="LT 20% indexed",MAX(0,O31),M31))</f>
        <v/>
      </c>
    </row>
    <row r="32" customFormat="false" ht="15" hidden="false" customHeight="true" outlineLevel="0" collapsed="false">
      <c r="A32" s="23"/>
      <c r="B32" s="23"/>
      <c r="C32" s="24"/>
      <c r="D32" s="24"/>
      <c r="E32" s="25"/>
      <c r="F32" s="25"/>
      <c r="G32" s="25"/>
      <c r="H32" s="25"/>
      <c r="I32" s="25"/>
      <c r="J32" s="20" t="str">
        <f aca="false">IF(OR(B32="",C32="",D32=""),"",DATEDIF(C32,D32,"m"))</f>
        <v/>
      </c>
      <c r="K32" s="21" t="str">
        <f aca="false">IF(OR(B32="",C32="",D32=""),"",IF(B32=Lists!$E$10,"Short",IF(D32&gt;EDATE(C32,IF(OR(B32=Lists!$E$5,B32=Lists!$E$6),12,24)),"Long","Short")))</f>
        <v/>
      </c>
      <c r="L32" s="20" t="str">
        <f aca="false">IF(K32="","",IF(AND(B32=Lists!$E$5,K32="Long",C32&lt;DATE(2018,2,1),N(I32)&gt;0),MAX(G32,MIN(I32,E32)),IF(AND(C32&lt;DATE(2001,4,1),N(I32)&gt;0,B32&lt;&gt;Lists!$E$5),I32,G32)))</f>
        <v/>
      </c>
      <c r="M32" s="20" t="str">
        <f aca="false">IF(K32="","",E32-F32-L32-H32)</f>
        <v/>
      </c>
      <c r="N32" s="20" t="str">
        <f aca="false">IF(K32="","",IF(AND(K32="Long",B32=Lists!$E$7,C32&lt;DATE(2024,7,23)),ROUND((L32+H32)*INDEX(Lists!$C$5:$C$30,MATCH(MIN(MAX(Lists!$B$5:$B$30),YEAR(D32)-IF(MONTH(D32)&lt;4,1,0)),Lists!$B$5:$B$30,0))/INDEX(Lists!$C$5:$C$30,MATCH(MAX(2001,YEAR(C32)-IF(MONTH(C32)&lt;4,1,0)),Lists!$B$5:$B$30,0)),0),""))</f>
        <v/>
      </c>
      <c r="O32" s="20" t="str">
        <f aca="false">IF(N32="","",E32-F32-N32)</f>
        <v/>
      </c>
      <c r="P32" s="21" t="str">
        <f aca="false">IF(K32="","",IF(K32="Short",IF(B32=Lists!$E$5,"ST 20%","ST slab"),IF(B32=Lists!$E$5,"LT 112A",IF(N32="","LT 12.5%",IF(AND(M32&gt;0,O32*0.2&lt;M32*0.125),"LT 20% indexed","LT 12.5%")))))</f>
        <v/>
      </c>
      <c r="Q32" s="22" t="str">
        <f aca="false">IF(P32="","",IF(P32="LT 20% indexed",MAX(0,O32),M32))</f>
        <v/>
      </c>
    </row>
    <row r="33" customFormat="false" ht="15" hidden="false" customHeight="true" outlineLevel="0" collapsed="false">
      <c r="A33" s="23"/>
      <c r="B33" s="23"/>
      <c r="C33" s="24"/>
      <c r="D33" s="24"/>
      <c r="E33" s="25"/>
      <c r="F33" s="25"/>
      <c r="G33" s="25"/>
      <c r="H33" s="25"/>
      <c r="I33" s="25"/>
      <c r="J33" s="20" t="str">
        <f aca="false">IF(OR(B33="",C33="",D33=""),"",DATEDIF(C33,D33,"m"))</f>
        <v/>
      </c>
      <c r="K33" s="21" t="str">
        <f aca="false">IF(OR(B33="",C33="",D33=""),"",IF(B33=Lists!$E$10,"Short",IF(D33&gt;EDATE(C33,IF(OR(B33=Lists!$E$5,B33=Lists!$E$6),12,24)),"Long","Short")))</f>
        <v/>
      </c>
      <c r="L33" s="20" t="str">
        <f aca="false">IF(K33="","",IF(AND(B33=Lists!$E$5,K33="Long",C33&lt;DATE(2018,2,1),N(I33)&gt;0),MAX(G33,MIN(I33,E33)),IF(AND(C33&lt;DATE(2001,4,1),N(I33)&gt;0,B33&lt;&gt;Lists!$E$5),I33,G33)))</f>
        <v/>
      </c>
      <c r="M33" s="20" t="str">
        <f aca="false">IF(K33="","",E33-F33-L33-H33)</f>
        <v/>
      </c>
      <c r="N33" s="20" t="str">
        <f aca="false">IF(K33="","",IF(AND(K33="Long",B33=Lists!$E$7,C33&lt;DATE(2024,7,23)),ROUND((L33+H33)*INDEX(Lists!$C$5:$C$30,MATCH(MIN(MAX(Lists!$B$5:$B$30),YEAR(D33)-IF(MONTH(D33)&lt;4,1,0)),Lists!$B$5:$B$30,0))/INDEX(Lists!$C$5:$C$30,MATCH(MAX(2001,YEAR(C33)-IF(MONTH(C33)&lt;4,1,0)),Lists!$B$5:$B$30,0)),0),""))</f>
        <v/>
      </c>
      <c r="O33" s="20" t="str">
        <f aca="false">IF(N33="","",E33-F33-N33)</f>
        <v/>
      </c>
      <c r="P33" s="21" t="str">
        <f aca="false">IF(K33="","",IF(K33="Short",IF(B33=Lists!$E$5,"ST 20%","ST slab"),IF(B33=Lists!$E$5,"LT 112A",IF(N33="","LT 12.5%",IF(AND(M33&gt;0,O33*0.2&lt;M33*0.125),"LT 20% indexed","LT 12.5%")))))</f>
        <v/>
      </c>
      <c r="Q33" s="22" t="str">
        <f aca="false">IF(P33="","",IF(P33="LT 20% indexed",MAX(0,O33),M33))</f>
        <v/>
      </c>
    </row>
    <row r="34" customFormat="false" ht="15" hidden="false" customHeight="true" outlineLevel="0" collapsed="false">
      <c r="A34" s="23"/>
      <c r="B34" s="23"/>
      <c r="C34" s="24"/>
      <c r="D34" s="24"/>
      <c r="E34" s="25"/>
      <c r="F34" s="25"/>
      <c r="G34" s="25"/>
      <c r="H34" s="25"/>
      <c r="I34" s="25"/>
      <c r="J34" s="20" t="str">
        <f aca="false">IF(OR(B34="",C34="",D34=""),"",DATEDIF(C34,D34,"m"))</f>
        <v/>
      </c>
      <c r="K34" s="21" t="str">
        <f aca="false">IF(OR(B34="",C34="",D34=""),"",IF(B34=Lists!$E$10,"Short",IF(D34&gt;EDATE(C34,IF(OR(B34=Lists!$E$5,B34=Lists!$E$6),12,24)),"Long","Short")))</f>
        <v/>
      </c>
      <c r="L34" s="20" t="str">
        <f aca="false">IF(K34="","",IF(AND(B34=Lists!$E$5,K34="Long",C34&lt;DATE(2018,2,1),N(I34)&gt;0),MAX(G34,MIN(I34,E34)),IF(AND(C34&lt;DATE(2001,4,1),N(I34)&gt;0,B34&lt;&gt;Lists!$E$5),I34,G34)))</f>
        <v/>
      </c>
      <c r="M34" s="20" t="str">
        <f aca="false">IF(K34="","",E34-F34-L34-H34)</f>
        <v/>
      </c>
      <c r="N34" s="20" t="str">
        <f aca="false">IF(K34="","",IF(AND(K34="Long",B34=Lists!$E$7,C34&lt;DATE(2024,7,23)),ROUND((L34+H34)*INDEX(Lists!$C$5:$C$30,MATCH(MIN(MAX(Lists!$B$5:$B$30),YEAR(D34)-IF(MONTH(D34)&lt;4,1,0)),Lists!$B$5:$B$30,0))/INDEX(Lists!$C$5:$C$30,MATCH(MAX(2001,YEAR(C34)-IF(MONTH(C34)&lt;4,1,0)),Lists!$B$5:$B$30,0)),0),""))</f>
        <v/>
      </c>
      <c r="O34" s="20" t="str">
        <f aca="false">IF(N34="","",E34-F34-N34)</f>
        <v/>
      </c>
      <c r="P34" s="21" t="str">
        <f aca="false">IF(K34="","",IF(K34="Short",IF(B34=Lists!$E$5,"ST 20%","ST slab"),IF(B34=Lists!$E$5,"LT 112A",IF(N34="","LT 12.5%",IF(AND(M34&gt;0,O34*0.2&lt;M34*0.125),"LT 20% indexed","LT 12.5%")))))</f>
        <v/>
      </c>
      <c r="Q34" s="22" t="str">
        <f aca="false">IF(P34="","",IF(P34="LT 20% indexed",MAX(0,O34),M34))</f>
        <v/>
      </c>
    </row>
    <row r="35" customFormat="false" ht="15" hidden="false" customHeight="true" outlineLevel="0" collapsed="false">
      <c r="A35" s="23"/>
      <c r="B35" s="23"/>
      <c r="C35" s="24"/>
      <c r="D35" s="24"/>
      <c r="E35" s="25"/>
      <c r="F35" s="25"/>
      <c r="G35" s="25"/>
      <c r="H35" s="25"/>
      <c r="I35" s="25"/>
      <c r="J35" s="20" t="str">
        <f aca="false">IF(OR(B35="",C35="",D35=""),"",DATEDIF(C35,D35,"m"))</f>
        <v/>
      </c>
      <c r="K35" s="21" t="str">
        <f aca="false">IF(OR(B35="",C35="",D35=""),"",IF(B35=Lists!$E$10,"Short",IF(D35&gt;EDATE(C35,IF(OR(B35=Lists!$E$5,B35=Lists!$E$6),12,24)),"Long","Short")))</f>
        <v/>
      </c>
      <c r="L35" s="20" t="str">
        <f aca="false">IF(K35="","",IF(AND(B35=Lists!$E$5,K35="Long",C35&lt;DATE(2018,2,1),N(I35)&gt;0),MAX(G35,MIN(I35,E35)),IF(AND(C35&lt;DATE(2001,4,1),N(I35)&gt;0,B35&lt;&gt;Lists!$E$5),I35,G35)))</f>
        <v/>
      </c>
      <c r="M35" s="20" t="str">
        <f aca="false">IF(K35="","",E35-F35-L35-H35)</f>
        <v/>
      </c>
      <c r="N35" s="20" t="str">
        <f aca="false">IF(K35="","",IF(AND(K35="Long",B35=Lists!$E$7,C35&lt;DATE(2024,7,23)),ROUND((L35+H35)*INDEX(Lists!$C$5:$C$30,MATCH(MIN(MAX(Lists!$B$5:$B$30),YEAR(D35)-IF(MONTH(D35)&lt;4,1,0)),Lists!$B$5:$B$30,0))/INDEX(Lists!$C$5:$C$30,MATCH(MAX(2001,YEAR(C35)-IF(MONTH(C35)&lt;4,1,0)),Lists!$B$5:$B$30,0)),0),""))</f>
        <v/>
      </c>
      <c r="O35" s="20" t="str">
        <f aca="false">IF(N35="","",E35-F35-N35)</f>
        <v/>
      </c>
      <c r="P35" s="21" t="str">
        <f aca="false">IF(K35="","",IF(K35="Short",IF(B35=Lists!$E$5,"ST 20%","ST slab"),IF(B35=Lists!$E$5,"LT 112A",IF(N35="","LT 12.5%",IF(AND(M35&gt;0,O35*0.2&lt;M35*0.125),"LT 20% indexed","LT 12.5%")))))</f>
        <v/>
      </c>
      <c r="Q35" s="22" t="str">
        <f aca="false">IF(P35="","",IF(P35="LT 20% indexed",MAX(0,O35),M35))</f>
        <v/>
      </c>
    </row>
    <row r="36" customFormat="false" ht="15" hidden="false" customHeight="true" outlineLevel="0" collapsed="false">
      <c r="A36" s="23"/>
      <c r="B36" s="23"/>
      <c r="C36" s="24"/>
      <c r="D36" s="24"/>
      <c r="E36" s="25"/>
      <c r="F36" s="25"/>
      <c r="G36" s="25"/>
      <c r="H36" s="25"/>
      <c r="I36" s="25"/>
      <c r="J36" s="20" t="str">
        <f aca="false">IF(OR(B36="",C36="",D36=""),"",DATEDIF(C36,D36,"m"))</f>
        <v/>
      </c>
      <c r="K36" s="21" t="str">
        <f aca="false">IF(OR(B36="",C36="",D36=""),"",IF(B36=Lists!$E$10,"Short",IF(D36&gt;EDATE(C36,IF(OR(B36=Lists!$E$5,B36=Lists!$E$6),12,24)),"Long","Short")))</f>
        <v/>
      </c>
      <c r="L36" s="20" t="str">
        <f aca="false">IF(K36="","",IF(AND(B36=Lists!$E$5,K36="Long",C36&lt;DATE(2018,2,1),N(I36)&gt;0),MAX(G36,MIN(I36,E36)),IF(AND(C36&lt;DATE(2001,4,1),N(I36)&gt;0,B36&lt;&gt;Lists!$E$5),I36,G36)))</f>
        <v/>
      </c>
      <c r="M36" s="20" t="str">
        <f aca="false">IF(K36="","",E36-F36-L36-H36)</f>
        <v/>
      </c>
      <c r="N36" s="20" t="str">
        <f aca="false">IF(K36="","",IF(AND(K36="Long",B36=Lists!$E$7,C36&lt;DATE(2024,7,23)),ROUND((L36+H36)*INDEX(Lists!$C$5:$C$30,MATCH(MIN(MAX(Lists!$B$5:$B$30),YEAR(D36)-IF(MONTH(D36)&lt;4,1,0)),Lists!$B$5:$B$30,0))/INDEX(Lists!$C$5:$C$30,MATCH(MAX(2001,YEAR(C36)-IF(MONTH(C36)&lt;4,1,0)),Lists!$B$5:$B$30,0)),0),""))</f>
        <v/>
      </c>
      <c r="O36" s="20" t="str">
        <f aca="false">IF(N36="","",E36-F36-N36)</f>
        <v/>
      </c>
      <c r="P36" s="21" t="str">
        <f aca="false">IF(K36="","",IF(K36="Short",IF(B36=Lists!$E$5,"ST 20%","ST slab"),IF(B36=Lists!$E$5,"LT 112A",IF(N36="","LT 12.5%",IF(AND(M36&gt;0,O36*0.2&lt;M36*0.125),"LT 20% indexed","LT 12.5%")))))</f>
        <v/>
      </c>
      <c r="Q36" s="22" t="str">
        <f aca="false">IF(P36="","",IF(P36="LT 20% indexed",MAX(0,O36),M36))</f>
        <v/>
      </c>
    </row>
    <row r="37" customFormat="false" ht="15" hidden="false" customHeight="true" outlineLevel="0" collapsed="false">
      <c r="A37" s="23"/>
      <c r="B37" s="23"/>
      <c r="C37" s="24"/>
      <c r="D37" s="24"/>
      <c r="E37" s="25"/>
      <c r="F37" s="25"/>
      <c r="G37" s="25"/>
      <c r="H37" s="25"/>
      <c r="I37" s="25"/>
      <c r="J37" s="20" t="str">
        <f aca="false">IF(OR(B37="",C37="",D37=""),"",DATEDIF(C37,D37,"m"))</f>
        <v/>
      </c>
      <c r="K37" s="21" t="str">
        <f aca="false">IF(OR(B37="",C37="",D37=""),"",IF(B37=Lists!$E$10,"Short",IF(D37&gt;EDATE(C37,IF(OR(B37=Lists!$E$5,B37=Lists!$E$6),12,24)),"Long","Short")))</f>
        <v/>
      </c>
      <c r="L37" s="20" t="str">
        <f aca="false">IF(K37="","",IF(AND(B37=Lists!$E$5,K37="Long",C37&lt;DATE(2018,2,1),N(I37)&gt;0),MAX(G37,MIN(I37,E37)),IF(AND(C37&lt;DATE(2001,4,1),N(I37)&gt;0,B37&lt;&gt;Lists!$E$5),I37,G37)))</f>
        <v/>
      </c>
      <c r="M37" s="20" t="str">
        <f aca="false">IF(K37="","",E37-F37-L37-H37)</f>
        <v/>
      </c>
      <c r="N37" s="20" t="str">
        <f aca="false">IF(K37="","",IF(AND(K37="Long",B37=Lists!$E$7,C37&lt;DATE(2024,7,23)),ROUND((L37+H37)*INDEX(Lists!$C$5:$C$30,MATCH(MIN(MAX(Lists!$B$5:$B$30),YEAR(D37)-IF(MONTH(D37)&lt;4,1,0)),Lists!$B$5:$B$30,0))/INDEX(Lists!$C$5:$C$30,MATCH(MAX(2001,YEAR(C37)-IF(MONTH(C37)&lt;4,1,0)),Lists!$B$5:$B$30,0)),0),""))</f>
        <v/>
      </c>
      <c r="O37" s="20" t="str">
        <f aca="false">IF(N37="","",E37-F37-N37)</f>
        <v/>
      </c>
      <c r="P37" s="21" t="str">
        <f aca="false">IF(K37="","",IF(K37="Short",IF(B37=Lists!$E$5,"ST 20%","ST slab"),IF(B37=Lists!$E$5,"LT 112A",IF(N37="","LT 12.5%",IF(AND(M37&gt;0,O37*0.2&lt;M37*0.125),"LT 20% indexed","LT 12.5%")))))</f>
        <v/>
      </c>
      <c r="Q37" s="22" t="str">
        <f aca="false">IF(P37="","",IF(P37="LT 20% indexed",MAX(0,O37),M37))</f>
        <v/>
      </c>
    </row>
    <row r="38" customFormat="false" ht="15" hidden="false" customHeight="true" outlineLevel="0" collapsed="false">
      <c r="A38" s="23"/>
      <c r="B38" s="23"/>
      <c r="C38" s="24"/>
      <c r="D38" s="24"/>
      <c r="E38" s="25"/>
      <c r="F38" s="25"/>
      <c r="G38" s="25"/>
      <c r="H38" s="25"/>
      <c r="I38" s="25"/>
      <c r="J38" s="20" t="str">
        <f aca="false">IF(OR(B38="",C38="",D38=""),"",DATEDIF(C38,D38,"m"))</f>
        <v/>
      </c>
      <c r="K38" s="21" t="str">
        <f aca="false">IF(OR(B38="",C38="",D38=""),"",IF(B38=Lists!$E$10,"Short",IF(D38&gt;EDATE(C38,IF(OR(B38=Lists!$E$5,B38=Lists!$E$6),12,24)),"Long","Short")))</f>
        <v/>
      </c>
      <c r="L38" s="20" t="str">
        <f aca="false">IF(K38="","",IF(AND(B38=Lists!$E$5,K38="Long",C38&lt;DATE(2018,2,1),N(I38)&gt;0),MAX(G38,MIN(I38,E38)),IF(AND(C38&lt;DATE(2001,4,1),N(I38)&gt;0,B38&lt;&gt;Lists!$E$5),I38,G38)))</f>
        <v/>
      </c>
      <c r="M38" s="20" t="str">
        <f aca="false">IF(K38="","",E38-F38-L38-H38)</f>
        <v/>
      </c>
      <c r="N38" s="20" t="str">
        <f aca="false">IF(K38="","",IF(AND(K38="Long",B38=Lists!$E$7,C38&lt;DATE(2024,7,23)),ROUND((L38+H38)*INDEX(Lists!$C$5:$C$30,MATCH(MIN(MAX(Lists!$B$5:$B$30),YEAR(D38)-IF(MONTH(D38)&lt;4,1,0)),Lists!$B$5:$B$30,0))/INDEX(Lists!$C$5:$C$30,MATCH(MAX(2001,YEAR(C38)-IF(MONTH(C38)&lt;4,1,0)),Lists!$B$5:$B$30,0)),0),""))</f>
        <v/>
      </c>
      <c r="O38" s="20" t="str">
        <f aca="false">IF(N38="","",E38-F38-N38)</f>
        <v/>
      </c>
      <c r="P38" s="21" t="str">
        <f aca="false">IF(K38="","",IF(K38="Short",IF(B38=Lists!$E$5,"ST 20%","ST slab"),IF(B38=Lists!$E$5,"LT 112A",IF(N38="","LT 12.5%",IF(AND(M38&gt;0,O38*0.2&lt;M38*0.125),"LT 20% indexed","LT 12.5%")))))</f>
        <v/>
      </c>
      <c r="Q38" s="22" t="str">
        <f aca="false">IF(P38="","",IF(P38="LT 20% indexed",MAX(0,O38),M38))</f>
        <v/>
      </c>
    </row>
    <row r="39" customFormat="false" ht="15" hidden="false" customHeight="true" outlineLevel="0" collapsed="false">
      <c r="A39" s="23"/>
      <c r="B39" s="23"/>
      <c r="C39" s="24"/>
      <c r="D39" s="24"/>
      <c r="E39" s="25"/>
      <c r="F39" s="25"/>
      <c r="G39" s="25"/>
      <c r="H39" s="25"/>
      <c r="I39" s="25"/>
      <c r="J39" s="20" t="str">
        <f aca="false">IF(OR(B39="",C39="",D39=""),"",DATEDIF(C39,D39,"m"))</f>
        <v/>
      </c>
      <c r="K39" s="21" t="str">
        <f aca="false">IF(OR(B39="",C39="",D39=""),"",IF(B39=Lists!$E$10,"Short",IF(D39&gt;EDATE(C39,IF(OR(B39=Lists!$E$5,B39=Lists!$E$6),12,24)),"Long","Short")))</f>
        <v/>
      </c>
      <c r="L39" s="20" t="str">
        <f aca="false">IF(K39="","",IF(AND(B39=Lists!$E$5,K39="Long",C39&lt;DATE(2018,2,1),N(I39)&gt;0),MAX(G39,MIN(I39,E39)),IF(AND(C39&lt;DATE(2001,4,1),N(I39)&gt;0,B39&lt;&gt;Lists!$E$5),I39,G39)))</f>
        <v/>
      </c>
      <c r="M39" s="20" t="str">
        <f aca="false">IF(K39="","",E39-F39-L39-H39)</f>
        <v/>
      </c>
      <c r="N39" s="20" t="str">
        <f aca="false">IF(K39="","",IF(AND(K39="Long",B39=Lists!$E$7,C39&lt;DATE(2024,7,23)),ROUND((L39+H39)*INDEX(Lists!$C$5:$C$30,MATCH(MIN(MAX(Lists!$B$5:$B$30),YEAR(D39)-IF(MONTH(D39)&lt;4,1,0)),Lists!$B$5:$B$30,0))/INDEX(Lists!$C$5:$C$30,MATCH(MAX(2001,YEAR(C39)-IF(MONTH(C39)&lt;4,1,0)),Lists!$B$5:$B$30,0)),0),""))</f>
        <v/>
      </c>
      <c r="O39" s="20" t="str">
        <f aca="false">IF(N39="","",E39-F39-N39)</f>
        <v/>
      </c>
      <c r="P39" s="21" t="str">
        <f aca="false">IF(K39="","",IF(K39="Short",IF(B39=Lists!$E$5,"ST 20%","ST slab"),IF(B39=Lists!$E$5,"LT 112A",IF(N39="","LT 12.5%",IF(AND(M39&gt;0,O39*0.2&lt;M39*0.125),"LT 20% indexed","LT 12.5%")))))</f>
        <v/>
      </c>
      <c r="Q39" s="22" t="str">
        <f aca="false">IF(P39="","",IF(P39="LT 20% indexed",MAX(0,O39),M39))</f>
        <v/>
      </c>
    </row>
    <row r="40" customFormat="false" ht="15" hidden="false" customHeight="true" outlineLevel="0" collapsed="false">
      <c r="A40" s="23"/>
      <c r="B40" s="23"/>
      <c r="C40" s="24"/>
      <c r="D40" s="24"/>
      <c r="E40" s="25"/>
      <c r="F40" s="25"/>
      <c r="G40" s="25"/>
      <c r="H40" s="25"/>
      <c r="I40" s="25"/>
      <c r="J40" s="20" t="str">
        <f aca="false">IF(OR(B40="",C40="",D40=""),"",DATEDIF(C40,D40,"m"))</f>
        <v/>
      </c>
      <c r="K40" s="21" t="str">
        <f aca="false">IF(OR(B40="",C40="",D40=""),"",IF(B40=Lists!$E$10,"Short",IF(D40&gt;EDATE(C40,IF(OR(B40=Lists!$E$5,B40=Lists!$E$6),12,24)),"Long","Short")))</f>
        <v/>
      </c>
      <c r="L40" s="20" t="str">
        <f aca="false">IF(K40="","",IF(AND(B40=Lists!$E$5,K40="Long",C40&lt;DATE(2018,2,1),N(I40)&gt;0),MAX(G40,MIN(I40,E40)),IF(AND(C40&lt;DATE(2001,4,1),N(I40)&gt;0,B40&lt;&gt;Lists!$E$5),I40,G40)))</f>
        <v/>
      </c>
      <c r="M40" s="20" t="str">
        <f aca="false">IF(K40="","",E40-F40-L40-H40)</f>
        <v/>
      </c>
      <c r="N40" s="20" t="str">
        <f aca="false">IF(K40="","",IF(AND(K40="Long",B40=Lists!$E$7,C40&lt;DATE(2024,7,23)),ROUND((L40+H40)*INDEX(Lists!$C$5:$C$30,MATCH(MIN(MAX(Lists!$B$5:$B$30),YEAR(D40)-IF(MONTH(D40)&lt;4,1,0)),Lists!$B$5:$B$30,0))/INDEX(Lists!$C$5:$C$30,MATCH(MAX(2001,YEAR(C40)-IF(MONTH(C40)&lt;4,1,0)),Lists!$B$5:$B$30,0)),0),""))</f>
        <v/>
      </c>
      <c r="O40" s="20" t="str">
        <f aca="false">IF(N40="","",E40-F40-N40)</f>
        <v/>
      </c>
      <c r="P40" s="21" t="str">
        <f aca="false">IF(K40="","",IF(K40="Short",IF(B40=Lists!$E$5,"ST 20%","ST slab"),IF(B40=Lists!$E$5,"LT 112A",IF(N40="","LT 12.5%",IF(AND(M40&gt;0,O40*0.2&lt;M40*0.125),"LT 20% indexed","LT 12.5%")))))</f>
        <v/>
      </c>
      <c r="Q40" s="22" t="str">
        <f aca="false">IF(P40="","",IF(P40="LT 20% indexed",MAX(0,O40),M40))</f>
        <v/>
      </c>
    </row>
    <row r="41" customFormat="false" ht="15" hidden="false" customHeight="true" outlineLevel="0" collapsed="false">
      <c r="A41" s="23"/>
      <c r="B41" s="23"/>
      <c r="C41" s="24"/>
      <c r="D41" s="24"/>
      <c r="E41" s="25"/>
      <c r="F41" s="25"/>
      <c r="G41" s="25"/>
      <c r="H41" s="25"/>
      <c r="I41" s="25"/>
      <c r="J41" s="20" t="str">
        <f aca="false">IF(OR(B41="",C41="",D41=""),"",DATEDIF(C41,D41,"m"))</f>
        <v/>
      </c>
      <c r="K41" s="21" t="str">
        <f aca="false">IF(OR(B41="",C41="",D41=""),"",IF(B41=Lists!$E$10,"Short",IF(D41&gt;EDATE(C41,IF(OR(B41=Lists!$E$5,B41=Lists!$E$6),12,24)),"Long","Short")))</f>
        <v/>
      </c>
      <c r="L41" s="20" t="str">
        <f aca="false">IF(K41="","",IF(AND(B41=Lists!$E$5,K41="Long",C41&lt;DATE(2018,2,1),N(I41)&gt;0),MAX(G41,MIN(I41,E41)),IF(AND(C41&lt;DATE(2001,4,1),N(I41)&gt;0,B41&lt;&gt;Lists!$E$5),I41,G41)))</f>
        <v/>
      </c>
      <c r="M41" s="20" t="str">
        <f aca="false">IF(K41="","",E41-F41-L41-H41)</f>
        <v/>
      </c>
      <c r="N41" s="20" t="str">
        <f aca="false">IF(K41="","",IF(AND(K41="Long",B41=Lists!$E$7,C41&lt;DATE(2024,7,23)),ROUND((L41+H41)*INDEX(Lists!$C$5:$C$30,MATCH(MIN(MAX(Lists!$B$5:$B$30),YEAR(D41)-IF(MONTH(D41)&lt;4,1,0)),Lists!$B$5:$B$30,0))/INDEX(Lists!$C$5:$C$30,MATCH(MAX(2001,YEAR(C41)-IF(MONTH(C41)&lt;4,1,0)),Lists!$B$5:$B$30,0)),0),""))</f>
        <v/>
      </c>
      <c r="O41" s="20" t="str">
        <f aca="false">IF(N41="","",E41-F41-N41)</f>
        <v/>
      </c>
      <c r="P41" s="21" t="str">
        <f aca="false">IF(K41="","",IF(K41="Short",IF(B41=Lists!$E$5,"ST 20%","ST slab"),IF(B41=Lists!$E$5,"LT 112A",IF(N41="","LT 12.5%",IF(AND(M41&gt;0,O41*0.2&lt;M41*0.125),"LT 20% indexed","LT 12.5%")))))</f>
        <v/>
      </c>
      <c r="Q41" s="22" t="str">
        <f aca="false">IF(P41="","",IF(P41="LT 20% indexed",MAX(0,O41),M41))</f>
        <v/>
      </c>
    </row>
    <row r="42" customFormat="false" ht="15" hidden="false" customHeight="true" outlineLevel="0" collapsed="false">
      <c r="A42" s="23"/>
      <c r="B42" s="23"/>
      <c r="C42" s="24"/>
      <c r="D42" s="24"/>
      <c r="E42" s="25"/>
      <c r="F42" s="25"/>
      <c r="G42" s="25"/>
      <c r="H42" s="25"/>
      <c r="I42" s="25"/>
      <c r="J42" s="20" t="str">
        <f aca="false">IF(OR(B42="",C42="",D42=""),"",DATEDIF(C42,D42,"m"))</f>
        <v/>
      </c>
      <c r="K42" s="21" t="str">
        <f aca="false">IF(OR(B42="",C42="",D42=""),"",IF(B42=Lists!$E$10,"Short",IF(D42&gt;EDATE(C42,IF(OR(B42=Lists!$E$5,B42=Lists!$E$6),12,24)),"Long","Short")))</f>
        <v/>
      </c>
      <c r="L42" s="20" t="str">
        <f aca="false">IF(K42="","",IF(AND(B42=Lists!$E$5,K42="Long",C42&lt;DATE(2018,2,1),N(I42)&gt;0),MAX(G42,MIN(I42,E42)),IF(AND(C42&lt;DATE(2001,4,1),N(I42)&gt;0,B42&lt;&gt;Lists!$E$5),I42,G42)))</f>
        <v/>
      </c>
      <c r="M42" s="20" t="str">
        <f aca="false">IF(K42="","",E42-F42-L42-H42)</f>
        <v/>
      </c>
      <c r="N42" s="20" t="str">
        <f aca="false">IF(K42="","",IF(AND(K42="Long",B42=Lists!$E$7,C42&lt;DATE(2024,7,23)),ROUND((L42+H42)*INDEX(Lists!$C$5:$C$30,MATCH(MIN(MAX(Lists!$B$5:$B$30),YEAR(D42)-IF(MONTH(D42)&lt;4,1,0)),Lists!$B$5:$B$30,0))/INDEX(Lists!$C$5:$C$30,MATCH(MAX(2001,YEAR(C42)-IF(MONTH(C42)&lt;4,1,0)),Lists!$B$5:$B$30,0)),0),""))</f>
        <v/>
      </c>
      <c r="O42" s="20" t="str">
        <f aca="false">IF(N42="","",E42-F42-N42)</f>
        <v/>
      </c>
      <c r="P42" s="21" t="str">
        <f aca="false">IF(K42="","",IF(K42="Short",IF(B42=Lists!$E$5,"ST 20%","ST slab"),IF(B42=Lists!$E$5,"LT 112A",IF(N42="","LT 12.5%",IF(AND(M42&gt;0,O42*0.2&lt;M42*0.125),"LT 20% indexed","LT 12.5%")))))</f>
        <v/>
      </c>
      <c r="Q42" s="22" t="str">
        <f aca="false">IF(P42="","",IF(P42="LT 20% indexed",MAX(0,O42),M42))</f>
        <v/>
      </c>
    </row>
    <row r="43" customFormat="false" ht="15" hidden="false" customHeight="true" outlineLevel="0" collapsed="false">
      <c r="A43" s="23"/>
      <c r="B43" s="23"/>
      <c r="C43" s="24"/>
      <c r="D43" s="24"/>
      <c r="E43" s="25"/>
      <c r="F43" s="25"/>
      <c r="G43" s="25"/>
      <c r="H43" s="25"/>
      <c r="I43" s="25"/>
      <c r="J43" s="20" t="str">
        <f aca="false">IF(OR(B43="",C43="",D43=""),"",DATEDIF(C43,D43,"m"))</f>
        <v/>
      </c>
      <c r="K43" s="21" t="str">
        <f aca="false">IF(OR(B43="",C43="",D43=""),"",IF(B43=Lists!$E$10,"Short",IF(D43&gt;EDATE(C43,IF(OR(B43=Lists!$E$5,B43=Lists!$E$6),12,24)),"Long","Short")))</f>
        <v/>
      </c>
      <c r="L43" s="20" t="str">
        <f aca="false">IF(K43="","",IF(AND(B43=Lists!$E$5,K43="Long",C43&lt;DATE(2018,2,1),N(I43)&gt;0),MAX(G43,MIN(I43,E43)),IF(AND(C43&lt;DATE(2001,4,1),N(I43)&gt;0,B43&lt;&gt;Lists!$E$5),I43,G43)))</f>
        <v/>
      </c>
      <c r="M43" s="20" t="str">
        <f aca="false">IF(K43="","",E43-F43-L43-H43)</f>
        <v/>
      </c>
      <c r="N43" s="20" t="str">
        <f aca="false">IF(K43="","",IF(AND(K43="Long",B43=Lists!$E$7,C43&lt;DATE(2024,7,23)),ROUND((L43+H43)*INDEX(Lists!$C$5:$C$30,MATCH(MIN(MAX(Lists!$B$5:$B$30),YEAR(D43)-IF(MONTH(D43)&lt;4,1,0)),Lists!$B$5:$B$30,0))/INDEX(Lists!$C$5:$C$30,MATCH(MAX(2001,YEAR(C43)-IF(MONTH(C43)&lt;4,1,0)),Lists!$B$5:$B$30,0)),0),""))</f>
        <v/>
      </c>
      <c r="O43" s="20" t="str">
        <f aca="false">IF(N43="","",E43-F43-N43)</f>
        <v/>
      </c>
      <c r="P43" s="21" t="str">
        <f aca="false">IF(K43="","",IF(K43="Short",IF(B43=Lists!$E$5,"ST 20%","ST slab"),IF(B43=Lists!$E$5,"LT 112A",IF(N43="","LT 12.5%",IF(AND(M43&gt;0,O43*0.2&lt;M43*0.125),"LT 20% indexed","LT 12.5%")))))</f>
        <v/>
      </c>
      <c r="Q43" s="22" t="str">
        <f aca="false">IF(P43="","",IF(P43="LT 20% indexed",MAX(0,O43),M43))</f>
        <v/>
      </c>
    </row>
    <row r="44" customFormat="false" ht="15" hidden="false" customHeight="true" outlineLevel="0" collapsed="false">
      <c r="A44" s="23"/>
      <c r="B44" s="23"/>
      <c r="C44" s="24"/>
      <c r="D44" s="24"/>
      <c r="E44" s="25"/>
      <c r="F44" s="25"/>
      <c r="G44" s="25"/>
      <c r="H44" s="25"/>
      <c r="I44" s="25"/>
      <c r="J44" s="20" t="str">
        <f aca="false">IF(OR(B44="",C44="",D44=""),"",DATEDIF(C44,D44,"m"))</f>
        <v/>
      </c>
      <c r="K44" s="21" t="str">
        <f aca="false">IF(OR(B44="",C44="",D44=""),"",IF(B44=Lists!$E$10,"Short",IF(D44&gt;EDATE(C44,IF(OR(B44=Lists!$E$5,B44=Lists!$E$6),12,24)),"Long","Short")))</f>
        <v/>
      </c>
      <c r="L44" s="20" t="str">
        <f aca="false">IF(K44="","",IF(AND(B44=Lists!$E$5,K44="Long",C44&lt;DATE(2018,2,1),N(I44)&gt;0),MAX(G44,MIN(I44,E44)),IF(AND(C44&lt;DATE(2001,4,1),N(I44)&gt;0,B44&lt;&gt;Lists!$E$5),I44,G44)))</f>
        <v/>
      </c>
      <c r="M44" s="20" t="str">
        <f aca="false">IF(K44="","",E44-F44-L44-H44)</f>
        <v/>
      </c>
      <c r="N44" s="20" t="str">
        <f aca="false">IF(K44="","",IF(AND(K44="Long",B44=Lists!$E$7,C44&lt;DATE(2024,7,23)),ROUND((L44+H44)*INDEX(Lists!$C$5:$C$30,MATCH(MIN(MAX(Lists!$B$5:$B$30),YEAR(D44)-IF(MONTH(D44)&lt;4,1,0)),Lists!$B$5:$B$30,0))/INDEX(Lists!$C$5:$C$30,MATCH(MAX(2001,YEAR(C44)-IF(MONTH(C44)&lt;4,1,0)),Lists!$B$5:$B$30,0)),0),""))</f>
        <v/>
      </c>
      <c r="O44" s="20" t="str">
        <f aca="false">IF(N44="","",E44-F44-N44)</f>
        <v/>
      </c>
      <c r="P44" s="21" t="str">
        <f aca="false">IF(K44="","",IF(K44="Short",IF(B44=Lists!$E$5,"ST 20%","ST slab"),IF(B44=Lists!$E$5,"LT 112A",IF(N44="","LT 12.5%",IF(AND(M44&gt;0,O44*0.2&lt;M44*0.125),"LT 20% indexed","LT 12.5%")))))</f>
        <v/>
      </c>
      <c r="Q44" s="22" t="str">
        <f aca="false">IF(P44="","",IF(P44="LT 20% indexed",MAX(0,O44),M44))</f>
        <v/>
      </c>
    </row>
    <row r="45" customFormat="false" ht="15" hidden="false" customHeight="true" outlineLevel="0" collapsed="false">
      <c r="A45" s="23"/>
      <c r="B45" s="23"/>
      <c r="C45" s="24"/>
      <c r="D45" s="24"/>
      <c r="E45" s="25"/>
      <c r="F45" s="25"/>
      <c r="G45" s="25"/>
      <c r="H45" s="25"/>
      <c r="I45" s="25"/>
      <c r="J45" s="20" t="str">
        <f aca="false">IF(OR(B45="",C45="",D45=""),"",DATEDIF(C45,D45,"m"))</f>
        <v/>
      </c>
      <c r="K45" s="21" t="str">
        <f aca="false">IF(OR(B45="",C45="",D45=""),"",IF(B45=Lists!$E$10,"Short",IF(D45&gt;EDATE(C45,IF(OR(B45=Lists!$E$5,B45=Lists!$E$6),12,24)),"Long","Short")))</f>
        <v/>
      </c>
      <c r="L45" s="20" t="str">
        <f aca="false">IF(K45="","",IF(AND(B45=Lists!$E$5,K45="Long",C45&lt;DATE(2018,2,1),N(I45)&gt;0),MAX(G45,MIN(I45,E45)),IF(AND(C45&lt;DATE(2001,4,1),N(I45)&gt;0,B45&lt;&gt;Lists!$E$5),I45,G45)))</f>
        <v/>
      </c>
      <c r="M45" s="20" t="str">
        <f aca="false">IF(K45="","",E45-F45-L45-H45)</f>
        <v/>
      </c>
      <c r="N45" s="20" t="str">
        <f aca="false">IF(K45="","",IF(AND(K45="Long",B45=Lists!$E$7,C45&lt;DATE(2024,7,23)),ROUND((L45+H45)*INDEX(Lists!$C$5:$C$30,MATCH(MIN(MAX(Lists!$B$5:$B$30),YEAR(D45)-IF(MONTH(D45)&lt;4,1,0)),Lists!$B$5:$B$30,0))/INDEX(Lists!$C$5:$C$30,MATCH(MAX(2001,YEAR(C45)-IF(MONTH(C45)&lt;4,1,0)),Lists!$B$5:$B$30,0)),0),""))</f>
        <v/>
      </c>
      <c r="O45" s="20" t="str">
        <f aca="false">IF(N45="","",E45-F45-N45)</f>
        <v/>
      </c>
      <c r="P45" s="21" t="str">
        <f aca="false">IF(K45="","",IF(K45="Short",IF(B45=Lists!$E$5,"ST 20%","ST slab"),IF(B45=Lists!$E$5,"LT 112A",IF(N45="","LT 12.5%",IF(AND(M45&gt;0,O45*0.2&lt;M45*0.125),"LT 20% indexed","LT 12.5%")))))</f>
        <v/>
      </c>
      <c r="Q45" s="22" t="str">
        <f aca="false">IF(P45="","",IF(P45="LT 20% indexed",MAX(0,O45),M45))</f>
        <v/>
      </c>
    </row>
    <row r="46" customFormat="false" ht="15" hidden="false" customHeight="true" outlineLevel="0" collapsed="false">
      <c r="A46" s="23"/>
      <c r="B46" s="23"/>
      <c r="C46" s="24"/>
      <c r="D46" s="24"/>
      <c r="E46" s="25"/>
      <c r="F46" s="25"/>
      <c r="G46" s="25"/>
      <c r="H46" s="25"/>
      <c r="I46" s="25"/>
      <c r="J46" s="20" t="str">
        <f aca="false">IF(OR(B46="",C46="",D46=""),"",DATEDIF(C46,D46,"m"))</f>
        <v/>
      </c>
      <c r="K46" s="21" t="str">
        <f aca="false">IF(OR(B46="",C46="",D46=""),"",IF(B46=Lists!$E$10,"Short",IF(D46&gt;EDATE(C46,IF(OR(B46=Lists!$E$5,B46=Lists!$E$6),12,24)),"Long","Short")))</f>
        <v/>
      </c>
      <c r="L46" s="20" t="str">
        <f aca="false">IF(K46="","",IF(AND(B46=Lists!$E$5,K46="Long",C46&lt;DATE(2018,2,1),N(I46)&gt;0),MAX(G46,MIN(I46,E46)),IF(AND(C46&lt;DATE(2001,4,1),N(I46)&gt;0,B46&lt;&gt;Lists!$E$5),I46,G46)))</f>
        <v/>
      </c>
      <c r="M46" s="20" t="str">
        <f aca="false">IF(K46="","",E46-F46-L46-H46)</f>
        <v/>
      </c>
      <c r="N46" s="20" t="str">
        <f aca="false">IF(K46="","",IF(AND(K46="Long",B46=Lists!$E$7,C46&lt;DATE(2024,7,23)),ROUND((L46+H46)*INDEX(Lists!$C$5:$C$30,MATCH(MIN(MAX(Lists!$B$5:$B$30),YEAR(D46)-IF(MONTH(D46)&lt;4,1,0)),Lists!$B$5:$B$30,0))/INDEX(Lists!$C$5:$C$30,MATCH(MAX(2001,YEAR(C46)-IF(MONTH(C46)&lt;4,1,0)),Lists!$B$5:$B$30,0)),0),""))</f>
        <v/>
      </c>
      <c r="O46" s="20" t="str">
        <f aca="false">IF(N46="","",E46-F46-N46)</f>
        <v/>
      </c>
      <c r="P46" s="21" t="str">
        <f aca="false">IF(K46="","",IF(K46="Short",IF(B46=Lists!$E$5,"ST 20%","ST slab"),IF(B46=Lists!$E$5,"LT 112A",IF(N46="","LT 12.5%",IF(AND(M46&gt;0,O46*0.2&lt;M46*0.125),"LT 20% indexed","LT 12.5%")))))</f>
        <v/>
      </c>
      <c r="Q46" s="22" t="str">
        <f aca="false">IF(P46="","",IF(P46="LT 20% indexed",MAX(0,O46),M46))</f>
        <v/>
      </c>
    </row>
    <row r="47" customFormat="false" ht="15" hidden="false" customHeight="true" outlineLevel="0" collapsed="false">
      <c r="A47" s="23"/>
      <c r="B47" s="23"/>
      <c r="C47" s="24"/>
      <c r="D47" s="24"/>
      <c r="E47" s="25"/>
      <c r="F47" s="25"/>
      <c r="G47" s="25"/>
      <c r="H47" s="25"/>
      <c r="I47" s="25"/>
      <c r="J47" s="20" t="str">
        <f aca="false">IF(OR(B47="",C47="",D47=""),"",DATEDIF(C47,D47,"m"))</f>
        <v/>
      </c>
      <c r="K47" s="21" t="str">
        <f aca="false">IF(OR(B47="",C47="",D47=""),"",IF(B47=Lists!$E$10,"Short",IF(D47&gt;EDATE(C47,IF(OR(B47=Lists!$E$5,B47=Lists!$E$6),12,24)),"Long","Short")))</f>
        <v/>
      </c>
      <c r="L47" s="20" t="str">
        <f aca="false">IF(K47="","",IF(AND(B47=Lists!$E$5,K47="Long",C47&lt;DATE(2018,2,1),N(I47)&gt;0),MAX(G47,MIN(I47,E47)),IF(AND(C47&lt;DATE(2001,4,1),N(I47)&gt;0,B47&lt;&gt;Lists!$E$5),I47,G47)))</f>
        <v/>
      </c>
      <c r="M47" s="20" t="str">
        <f aca="false">IF(K47="","",E47-F47-L47-H47)</f>
        <v/>
      </c>
      <c r="N47" s="20" t="str">
        <f aca="false">IF(K47="","",IF(AND(K47="Long",B47=Lists!$E$7,C47&lt;DATE(2024,7,23)),ROUND((L47+H47)*INDEX(Lists!$C$5:$C$30,MATCH(MIN(MAX(Lists!$B$5:$B$30),YEAR(D47)-IF(MONTH(D47)&lt;4,1,0)),Lists!$B$5:$B$30,0))/INDEX(Lists!$C$5:$C$30,MATCH(MAX(2001,YEAR(C47)-IF(MONTH(C47)&lt;4,1,0)),Lists!$B$5:$B$30,0)),0),""))</f>
        <v/>
      </c>
      <c r="O47" s="20" t="str">
        <f aca="false">IF(N47="","",E47-F47-N47)</f>
        <v/>
      </c>
      <c r="P47" s="21" t="str">
        <f aca="false">IF(K47="","",IF(K47="Short",IF(B47=Lists!$E$5,"ST 20%","ST slab"),IF(B47=Lists!$E$5,"LT 112A",IF(N47="","LT 12.5%",IF(AND(M47&gt;0,O47*0.2&lt;M47*0.125),"LT 20% indexed","LT 12.5%")))))</f>
        <v/>
      </c>
      <c r="Q47" s="22" t="str">
        <f aca="false">IF(P47="","",IF(P47="LT 20% indexed",MAX(0,O47),M47))</f>
        <v/>
      </c>
    </row>
    <row r="48" customFormat="false" ht="15" hidden="false" customHeight="true" outlineLevel="0" collapsed="false">
      <c r="A48" s="23"/>
      <c r="B48" s="23"/>
      <c r="C48" s="24"/>
      <c r="D48" s="24"/>
      <c r="E48" s="25"/>
      <c r="F48" s="25"/>
      <c r="G48" s="25"/>
      <c r="H48" s="25"/>
      <c r="I48" s="25"/>
      <c r="J48" s="20" t="str">
        <f aca="false">IF(OR(B48="",C48="",D48=""),"",DATEDIF(C48,D48,"m"))</f>
        <v/>
      </c>
      <c r="K48" s="21" t="str">
        <f aca="false">IF(OR(B48="",C48="",D48=""),"",IF(B48=Lists!$E$10,"Short",IF(D48&gt;EDATE(C48,IF(OR(B48=Lists!$E$5,B48=Lists!$E$6),12,24)),"Long","Short")))</f>
        <v/>
      </c>
      <c r="L48" s="20" t="str">
        <f aca="false">IF(K48="","",IF(AND(B48=Lists!$E$5,K48="Long",C48&lt;DATE(2018,2,1),N(I48)&gt;0),MAX(G48,MIN(I48,E48)),IF(AND(C48&lt;DATE(2001,4,1),N(I48)&gt;0,B48&lt;&gt;Lists!$E$5),I48,G48)))</f>
        <v/>
      </c>
      <c r="M48" s="20" t="str">
        <f aca="false">IF(K48="","",E48-F48-L48-H48)</f>
        <v/>
      </c>
      <c r="N48" s="20" t="str">
        <f aca="false">IF(K48="","",IF(AND(K48="Long",B48=Lists!$E$7,C48&lt;DATE(2024,7,23)),ROUND((L48+H48)*INDEX(Lists!$C$5:$C$30,MATCH(MIN(MAX(Lists!$B$5:$B$30),YEAR(D48)-IF(MONTH(D48)&lt;4,1,0)),Lists!$B$5:$B$30,0))/INDEX(Lists!$C$5:$C$30,MATCH(MAX(2001,YEAR(C48)-IF(MONTH(C48)&lt;4,1,0)),Lists!$B$5:$B$30,0)),0),""))</f>
        <v/>
      </c>
      <c r="O48" s="20" t="str">
        <f aca="false">IF(N48="","",E48-F48-N48)</f>
        <v/>
      </c>
      <c r="P48" s="21" t="str">
        <f aca="false">IF(K48="","",IF(K48="Short",IF(B48=Lists!$E$5,"ST 20%","ST slab"),IF(B48=Lists!$E$5,"LT 112A",IF(N48="","LT 12.5%",IF(AND(M48&gt;0,O48*0.2&lt;M48*0.125),"LT 20% indexed","LT 12.5%")))))</f>
        <v/>
      </c>
      <c r="Q48" s="22" t="str">
        <f aca="false">IF(P48="","",IF(P48="LT 20% indexed",MAX(0,O48),M48))</f>
        <v/>
      </c>
    </row>
    <row r="49" customFormat="false" ht="15" hidden="false" customHeight="true" outlineLevel="0" collapsed="false">
      <c r="A49" s="23"/>
      <c r="B49" s="23"/>
      <c r="C49" s="24"/>
      <c r="D49" s="24"/>
      <c r="E49" s="25"/>
      <c r="F49" s="25"/>
      <c r="G49" s="25"/>
      <c r="H49" s="25"/>
      <c r="I49" s="25"/>
      <c r="J49" s="20" t="str">
        <f aca="false">IF(OR(B49="",C49="",D49=""),"",DATEDIF(C49,D49,"m"))</f>
        <v/>
      </c>
      <c r="K49" s="21" t="str">
        <f aca="false">IF(OR(B49="",C49="",D49=""),"",IF(B49=Lists!$E$10,"Short",IF(D49&gt;EDATE(C49,IF(OR(B49=Lists!$E$5,B49=Lists!$E$6),12,24)),"Long","Short")))</f>
        <v/>
      </c>
      <c r="L49" s="20" t="str">
        <f aca="false">IF(K49="","",IF(AND(B49=Lists!$E$5,K49="Long",C49&lt;DATE(2018,2,1),N(I49)&gt;0),MAX(G49,MIN(I49,E49)),IF(AND(C49&lt;DATE(2001,4,1),N(I49)&gt;0,B49&lt;&gt;Lists!$E$5),I49,G49)))</f>
        <v/>
      </c>
      <c r="M49" s="20" t="str">
        <f aca="false">IF(K49="","",E49-F49-L49-H49)</f>
        <v/>
      </c>
      <c r="N49" s="20" t="str">
        <f aca="false">IF(K49="","",IF(AND(K49="Long",B49=Lists!$E$7,C49&lt;DATE(2024,7,23)),ROUND((L49+H49)*INDEX(Lists!$C$5:$C$30,MATCH(MIN(MAX(Lists!$B$5:$B$30),YEAR(D49)-IF(MONTH(D49)&lt;4,1,0)),Lists!$B$5:$B$30,0))/INDEX(Lists!$C$5:$C$30,MATCH(MAX(2001,YEAR(C49)-IF(MONTH(C49)&lt;4,1,0)),Lists!$B$5:$B$30,0)),0),""))</f>
        <v/>
      </c>
      <c r="O49" s="20" t="str">
        <f aca="false">IF(N49="","",E49-F49-N49)</f>
        <v/>
      </c>
      <c r="P49" s="21" t="str">
        <f aca="false">IF(K49="","",IF(K49="Short",IF(B49=Lists!$E$5,"ST 20%","ST slab"),IF(B49=Lists!$E$5,"LT 112A",IF(N49="","LT 12.5%",IF(AND(M49&gt;0,O49*0.2&lt;M49*0.125),"LT 20% indexed","LT 12.5%")))))</f>
        <v/>
      </c>
      <c r="Q49" s="22" t="str">
        <f aca="false">IF(P49="","",IF(P49="LT 20% indexed",MAX(0,O49),M49))</f>
        <v/>
      </c>
    </row>
    <row r="50" customFormat="false" ht="15" hidden="false" customHeight="true" outlineLevel="0" collapsed="false">
      <c r="A50" s="23"/>
      <c r="B50" s="23"/>
      <c r="C50" s="24"/>
      <c r="D50" s="24"/>
      <c r="E50" s="25"/>
      <c r="F50" s="25"/>
      <c r="G50" s="25"/>
      <c r="H50" s="25"/>
      <c r="I50" s="25"/>
      <c r="J50" s="20" t="str">
        <f aca="false">IF(OR(B50="",C50="",D50=""),"",DATEDIF(C50,D50,"m"))</f>
        <v/>
      </c>
      <c r="K50" s="21" t="str">
        <f aca="false">IF(OR(B50="",C50="",D50=""),"",IF(B50=Lists!$E$10,"Short",IF(D50&gt;EDATE(C50,IF(OR(B50=Lists!$E$5,B50=Lists!$E$6),12,24)),"Long","Short")))</f>
        <v/>
      </c>
      <c r="L50" s="20" t="str">
        <f aca="false">IF(K50="","",IF(AND(B50=Lists!$E$5,K50="Long",C50&lt;DATE(2018,2,1),N(I50)&gt;0),MAX(G50,MIN(I50,E50)),IF(AND(C50&lt;DATE(2001,4,1),N(I50)&gt;0,B50&lt;&gt;Lists!$E$5),I50,G50)))</f>
        <v/>
      </c>
      <c r="M50" s="20" t="str">
        <f aca="false">IF(K50="","",E50-F50-L50-H50)</f>
        <v/>
      </c>
      <c r="N50" s="20" t="str">
        <f aca="false">IF(K50="","",IF(AND(K50="Long",B50=Lists!$E$7,C50&lt;DATE(2024,7,23)),ROUND((L50+H50)*INDEX(Lists!$C$5:$C$30,MATCH(MIN(MAX(Lists!$B$5:$B$30),YEAR(D50)-IF(MONTH(D50)&lt;4,1,0)),Lists!$B$5:$B$30,0))/INDEX(Lists!$C$5:$C$30,MATCH(MAX(2001,YEAR(C50)-IF(MONTH(C50)&lt;4,1,0)),Lists!$B$5:$B$30,0)),0),""))</f>
        <v/>
      </c>
      <c r="O50" s="20" t="str">
        <f aca="false">IF(N50="","",E50-F50-N50)</f>
        <v/>
      </c>
      <c r="P50" s="21" t="str">
        <f aca="false">IF(K50="","",IF(K50="Short",IF(B50=Lists!$E$5,"ST 20%","ST slab"),IF(B50=Lists!$E$5,"LT 112A",IF(N50="","LT 12.5%",IF(AND(M50&gt;0,O50*0.2&lt;M50*0.125),"LT 20% indexed","LT 12.5%")))))</f>
        <v/>
      </c>
      <c r="Q50" s="22" t="str">
        <f aca="false">IF(P50="","",IF(P50="LT 20% indexed",MAX(0,O50),M50))</f>
        <v/>
      </c>
    </row>
    <row r="51" customFormat="false" ht="15" hidden="false" customHeight="true" outlineLevel="0" collapsed="false">
      <c r="A51" s="23"/>
      <c r="B51" s="23"/>
      <c r="C51" s="24"/>
      <c r="D51" s="24"/>
      <c r="E51" s="25"/>
      <c r="F51" s="25"/>
      <c r="G51" s="25"/>
      <c r="H51" s="25"/>
      <c r="I51" s="25"/>
      <c r="J51" s="20" t="str">
        <f aca="false">IF(OR(B51="",C51="",D51=""),"",DATEDIF(C51,D51,"m"))</f>
        <v/>
      </c>
      <c r="K51" s="21" t="str">
        <f aca="false">IF(OR(B51="",C51="",D51=""),"",IF(B51=Lists!$E$10,"Short",IF(D51&gt;EDATE(C51,IF(OR(B51=Lists!$E$5,B51=Lists!$E$6),12,24)),"Long","Short")))</f>
        <v/>
      </c>
      <c r="L51" s="20" t="str">
        <f aca="false">IF(K51="","",IF(AND(B51=Lists!$E$5,K51="Long",C51&lt;DATE(2018,2,1),N(I51)&gt;0),MAX(G51,MIN(I51,E51)),IF(AND(C51&lt;DATE(2001,4,1),N(I51)&gt;0,B51&lt;&gt;Lists!$E$5),I51,G51)))</f>
        <v/>
      </c>
      <c r="M51" s="20" t="str">
        <f aca="false">IF(K51="","",E51-F51-L51-H51)</f>
        <v/>
      </c>
      <c r="N51" s="20" t="str">
        <f aca="false">IF(K51="","",IF(AND(K51="Long",B51=Lists!$E$7,C51&lt;DATE(2024,7,23)),ROUND((L51+H51)*INDEX(Lists!$C$5:$C$30,MATCH(MIN(MAX(Lists!$B$5:$B$30),YEAR(D51)-IF(MONTH(D51)&lt;4,1,0)),Lists!$B$5:$B$30,0))/INDEX(Lists!$C$5:$C$30,MATCH(MAX(2001,YEAR(C51)-IF(MONTH(C51)&lt;4,1,0)),Lists!$B$5:$B$30,0)),0),""))</f>
        <v/>
      </c>
      <c r="O51" s="20" t="str">
        <f aca="false">IF(N51="","",E51-F51-N51)</f>
        <v/>
      </c>
      <c r="P51" s="21" t="str">
        <f aca="false">IF(K51="","",IF(K51="Short",IF(B51=Lists!$E$5,"ST 20%","ST slab"),IF(B51=Lists!$E$5,"LT 112A",IF(N51="","LT 12.5%",IF(AND(M51&gt;0,O51*0.2&lt;M51*0.125),"LT 20% indexed","LT 12.5%")))))</f>
        <v/>
      </c>
      <c r="Q51" s="22" t="str">
        <f aca="false">IF(P51="","",IF(P51="LT 20% indexed",MAX(0,O51),M51))</f>
        <v/>
      </c>
    </row>
    <row r="52" customFormat="false" ht="15" hidden="false" customHeight="true" outlineLevel="0" collapsed="false">
      <c r="A52" s="23"/>
      <c r="B52" s="23"/>
      <c r="C52" s="24"/>
      <c r="D52" s="24"/>
      <c r="E52" s="25"/>
      <c r="F52" s="25"/>
      <c r="G52" s="25"/>
      <c r="H52" s="25"/>
      <c r="I52" s="25"/>
      <c r="J52" s="20" t="str">
        <f aca="false">IF(OR(B52="",C52="",D52=""),"",DATEDIF(C52,D52,"m"))</f>
        <v/>
      </c>
      <c r="K52" s="21" t="str">
        <f aca="false">IF(OR(B52="",C52="",D52=""),"",IF(B52=Lists!$E$10,"Short",IF(D52&gt;EDATE(C52,IF(OR(B52=Lists!$E$5,B52=Lists!$E$6),12,24)),"Long","Short")))</f>
        <v/>
      </c>
      <c r="L52" s="20" t="str">
        <f aca="false">IF(K52="","",IF(AND(B52=Lists!$E$5,K52="Long",C52&lt;DATE(2018,2,1),N(I52)&gt;0),MAX(G52,MIN(I52,E52)),IF(AND(C52&lt;DATE(2001,4,1),N(I52)&gt;0,B52&lt;&gt;Lists!$E$5),I52,G52)))</f>
        <v/>
      </c>
      <c r="M52" s="20" t="str">
        <f aca="false">IF(K52="","",E52-F52-L52-H52)</f>
        <v/>
      </c>
      <c r="N52" s="20" t="str">
        <f aca="false">IF(K52="","",IF(AND(K52="Long",B52=Lists!$E$7,C52&lt;DATE(2024,7,23)),ROUND((L52+H52)*INDEX(Lists!$C$5:$C$30,MATCH(MIN(MAX(Lists!$B$5:$B$30),YEAR(D52)-IF(MONTH(D52)&lt;4,1,0)),Lists!$B$5:$B$30,0))/INDEX(Lists!$C$5:$C$30,MATCH(MAX(2001,YEAR(C52)-IF(MONTH(C52)&lt;4,1,0)),Lists!$B$5:$B$30,0)),0),""))</f>
        <v/>
      </c>
      <c r="O52" s="20" t="str">
        <f aca="false">IF(N52="","",E52-F52-N52)</f>
        <v/>
      </c>
      <c r="P52" s="21" t="str">
        <f aca="false">IF(K52="","",IF(K52="Short",IF(B52=Lists!$E$5,"ST 20%","ST slab"),IF(B52=Lists!$E$5,"LT 112A",IF(N52="","LT 12.5%",IF(AND(M52&gt;0,O52*0.2&lt;M52*0.125),"LT 20% indexed","LT 12.5%")))))</f>
        <v/>
      </c>
      <c r="Q52" s="22" t="str">
        <f aca="false">IF(P52="","",IF(P52="LT 20% indexed",MAX(0,O52),M52))</f>
        <v/>
      </c>
    </row>
    <row r="53" customFormat="false" ht="15" hidden="false" customHeight="true" outlineLevel="0" collapsed="false">
      <c r="A53" s="23"/>
      <c r="B53" s="23"/>
      <c r="C53" s="24"/>
      <c r="D53" s="24"/>
      <c r="E53" s="25"/>
      <c r="F53" s="25"/>
      <c r="G53" s="25"/>
      <c r="H53" s="25"/>
      <c r="I53" s="25"/>
      <c r="J53" s="20" t="str">
        <f aca="false">IF(OR(B53="",C53="",D53=""),"",DATEDIF(C53,D53,"m"))</f>
        <v/>
      </c>
      <c r="K53" s="21" t="str">
        <f aca="false">IF(OR(B53="",C53="",D53=""),"",IF(B53=Lists!$E$10,"Short",IF(D53&gt;EDATE(C53,IF(OR(B53=Lists!$E$5,B53=Lists!$E$6),12,24)),"Long","Short")))</f>
        <v/>
      </c>
      <c r="L53" s="20" t="str">
        <f aca="false">IF(K53="","",IF(AND(B53=Lists!$E$5,K53="Long",C53&lt;DATE(2018,2,1),N(I53)&gt;0),MAX(G53,MIN(I53,E53)),IF(AND(C53&lt;DATE(2001,4,1),N(I53)&gt;0,B53&lt;&gt;Lists!$E$5),I53,G53)))</f>
        <v/>
      </c>
      <c r="M53" s="20" t="str">
        <f aca="false">IF(K53="","",E53-F53-L53-H53)</f>
        <v/>
      </c>
      <c r="N53" s="20" t="str">
        <f aca="false">IF(K53="","",IF(AND(K53="Long",B53=Lists!$E$7,C53&lt;DATE(2024,7,23)),ROUND((L53+H53)*INDEX(Lists!$C$5:$C$30,MATCH(MIN(MAX(Lists!$B$5:$B$30),YEAR(D53)-IF(MONTH(D53)&lt;4,1,0)),Lists!$B$5:$B$30,0))/INDEX(Lists!$C$5:$C$30,MATCH(MAX(2001,YEAR(C53)-IF(MONTH(C53)&lt;4,1,0)),Lists!$B$5:$B$30,0)),0),""))</f>
        <v/>
      </c>
      <c r="O53" s="20" t="str">
        <f aca="false">IF(N53="","",E53-F53-N53)</f>
        <v/>
      </c>
      <c r="P53" s="21" t="str">
        <f aca="false">IF(K53="","",IF(K53="Short",IF(B53=Lists!$E$5,"ST 20%","ST slab"),IF(B53=Lists!$E$5,"LT 112A",IF(N53="","LT 12.5%",IF(AND(M53&gt;0,O53*0.2&lt;M53*0.125),"LT 20% indexed","LT 12.5%")))))</f>
        <v/>
      </c>
      <c r="Q53" s="22" t="str">
        <f aca="false">IF(P53="","",IF(P53="LT 20% indexed",MAX(0,O53),M53))</f>
        <v/>
      </c>
    </row>
    <row r="54" customFormat="false" ht="15" hidden="false" customHeight="true" outlineLevel="0" collapsed="false">
      <c r="A54" s="23"/>
      <c r="B54" s="23"/>
      <c r="C54" s="24"/>
      <c r="D54" s="24"/>
      <c r="E54" s="25"/>
      <c r="F54" s="25"/>
      <c r="G54" s="25"/>
      <c r="H54" s="25"/>
      <c r="I54" s="25"/>
      <c r="J54" s="20" t="str">
        <f aca="false">IF(OR(B54="",C54="",D54=""),"",DATEDIF(C54,D54,"m"))</f>
        <v/>
      </c>
      <c r="K54" s="21" t="str">
        <f aca="false">IF(OR(B54="",C54="",D54=""),"",IF(B54=Lists!$E$10,"Short",IF(D54&gt;EDATE(C54,IF(OR(B54=Lists!$E$5,B54=Lists!$E$6),12,24)),"Long","Short")))</f>
        <v/>
      </c>
      <c r="L54" s="20" t="str">
        <f aca="false">IF(K54="","",IF(AND(B54=Lists!$E$5,K54="Long",C54&lt;DATE(2018,2,1),N(I54)&gt;0),MAX(G54,MIN(I54,E54)),IF(AND(C54&lt;DATE(2001,4,1),N(I54)&gt;0,B54&lt;&gt;Lists!$E$5),I54,G54)))</f>
        <v/>
      </c>
      <c r="M54" s="20" t="str">
        <f aca="false">IF(K54="","",E54-F54-L54-H54)</f>
        <v/>
      </c>
      <c r="N54" s="20" t="str">
        <f aca="false">IF(K54="","",IF(AND(K54="Long",B54=Lists!$E$7,C54&lt;DATE(2024,7,23)),ROUND((L54+H54)*INDEX(Lists!$C$5:$C$30,MATCH(MIN(MAX(Lists!$B$5:$B$30),YEAR(D54)-IF(MONTH(D54)&lt;4,1,0)),Lists!$B$5:$B$30,0))/INDEX(Lists!$C$5:$C$30,MATCH(MAX(2001,YEAR(C54)-IF(MONTH(C54)&lt;4,1,0)),Lists!$B$5:$B$30,0)),0),""))</f>
        <v/>
      </c>
      <c r="O54" s="20" t="str">
        <f aca="false">IF(N54="","",E54-F54-N54)</f>
        <v/>
      </c>
      <c r="P54" s="21" t="str">
        <f aca="false">IF(K54="","",IF(K54="Short",IF(B54=Lists!$E$5,"ST 20%","ST slab"),IF(B54=Lists!$E$5,"LT 112A",IF(N54="","LT 12.5%",IF(AND(M54&gt;0,O54*0.2&lt;M54*0.125),"LT 20% indexed","LT 12.5%")))))</f>
        <v/>
      </c>
      <c r="Q54" s="22" t="str">
        <f aca="false">IF(P54="","",IF(P54="LT 20% indexed",MAX(0,O54),M54))</f>
        <v/>
      </c>
    </row>
    <row r="55" customFormat="false" ht="15" hidden="false" customHeight="true" outlineLevel="0" collapsed="false">
      <c r="A55" s="23"/>
      <c r="B55" s="23"/>
      <c r="C55" s="24"/>
      <c r="D55" s="24"/>
      <c r="E55" s="25"/>
      <c r="F55" s="25"/>
      <c r="G55" s="25"/>
      <c r="H55" s="25"/>
      <c r="I55" s="25"/>
      <c r="J55" s="20" t="str">
        <f aca="false">IF(OR(B55="",C55="",D55=""),"",DATEDIF(C55,D55,"m"))</f>
        <v/>
      </c>
      <c r="K55" s="21" t="str">
        <f aca="false">IF(OR(B55="",C55="",D55=""),"",IF(B55=Lists!$E$10,"Short",IF(D55&gt;EDATE(C55,IF(OR(B55=Lists!$E$5,B55=Lists!$E$6),12,24)),"Long","Short")))</f>
        <v/>
      </c>
      <c r="L55" s="20" t="str">
        <f aca="false">IF(K55="","",IF(AND(B55=Lists!$E$5,K55="Long",C55&lt;DATE(2018,2,1),N(I55)&gt;0),MAX(G55,MIN(I55,E55)),IF(AND(C55&lt;DATE(2001,4,1),N(I55)&gt;0,B55&lt;&gt;Lists!$E$5),I55,G55)))</f>
        <v/>
      </c>
      <c r="M55" s="20" t="str">
        <f aca="false">IF(K55="","",E55-F55-L55-H55)</f>
        <v/>
      </c>
      <c r="N55" s="20" t="str">
        <f aca="false">IF(K55="","",IF(AND(K55="Long",B55=Lists!$E$7,C55&lt;DATE(2024,7,23)),ROUND((L55+H55)*INDEX(Lists!$C$5:$C$30,MATCH(MIN(MAX(Lists!$B$5:$B$30),YEAR(D55)-IF(MONTH(D55)&lt;4,1,0)),Lists!$B$5:$B$30,0))/INDEX(Lists!$C$5:$C$30,MATCH(MAX(2001,YEAR(C55)-IF(MONTH(C55)&lt;4,1,0)),Lists!$B$5:$B$30,0)),0),""))</f>
        <v/>
      </c>
      <c r="O55" s="20" t="str">
        <f aca="false">IF(N55="","",E55-F55-N55)</f>
        <v/>
      </c>
      <c r="P55" s="21" t="str">
        <f aca="false">IF(K55="","",IF(K55="Short",IF(B55=Lists!$E$5,"ST 20%","ST slab"),IF(B55=Lists!$E$5,"LT 112A",IF(N55="","LT 12.5%",IF(AND(M55&gt;0,O55*0.2&lt;M55*0.125),"LT 20% indexed","LT 12.5%")))))</f>
        <v/>
      </c>
      <c r="Q55" s="22" t="str">
        <f aca="false">IF(P55="","",IF(P55="LT 20% indexed",MAX(0,O55),M55))</f>
        <v/>
      </c>
    </row>
    <row r="56" customFormat="false" ht="15" hidden="false" customHeight="true" outlineLevel="0" collapsed="false">
      <c r="A56" s="23"/>
      <c r="B56" s="23"/>
      <c r="C56" s="24"/>
      <c r="D56" s="24"/>
      <c r="E56" s="25"/>
      <c r="F56" s="25"/>
      <c r="G56" s="25"/>
      <c r="H56" s="25"/>
      <c r="I56" s="25"/>
      <c r="J56" s="20" t="str">
        <f aca="false">IF(OR(B56="",C56="",D56=""),"",DATEDIF(C56,D56,"m"))</f>
        <v/>
      </c>
      <c r="K56" s="21" t="str">
        <f aca="false">IF(OR(B56="",C56="",D56=""),"",IF(B56=Lists!$E$10,"Short",IF(D56&gt;EDATE(C56,IF(OR(B56=Lists!$E$5,B56=Lists!$E$6),12,24)),"Long","Short")))</f>
        <v/>
      </c>
      <c r="L56" s="20" t="str">
        <f aca="false">IF(K56="","",IF(AND(B56=Lists!$E$5,K56="Long",C56&lt;DATE(2018,2,1),N(I56)&gt;0),MAX(G56,MIN(I56,E56)),IF(AND(C56&lt;DATE(2001,4,1),N(I56)&gt;0,B56&lt;&gt;Lists!$E$5),I56,G56)))</f>
        <v/>
      </c>
      <c r="M56" s="20" t="str">
        <f aca="false">IF(K56="","",E56-F56-L56-H56)</f>
        <v/>
      </c>
      <c r="N56" s="20" t="str">
        <f aca="false">IF(K56="","",IF(AND(K56="Long",B56=Lists!$E$7,C56&lt;DATE(2024,7,23)),ROUND((L56+H56)*INDEX(Lists!$C$5:$C$30,MATCH(MIN(MAX(Lists!$B$5:$B$30),YEAR(D56)-IF(MONTH(D56)&lt;4,1,0)),Lists!$B$5:$B$30,0))/INDEX(Lists!$C$5:$C$30,MATCH(MAX(2001,YEAR(C56)-IF(MONTH(C56)&lt;4,1,0)),Lists!$B$5:$B$30,0)),0),""))</f>
        <v/>
      </c>
      <c r="O56" s="20" t="str">
        <f aca="false">IF(N56="","",E56-F56-N56)</f>
        <v/>
      </c>
      <c r="P56" s="21" t="str">
        <f aca="false">IF(K56="","",IF(K56="Short",IF(B56=Lists!$E$5,"ST 20%","ST slab"),IF(B56=Lists!$E$5,"LT 112A",IF(N56="","LT 12.5%",IF(AND(M56&gt;0,O56*0.2&lt;M56*0.125),"LT 20% indexed","LT 12.5%")))))</f>
        <v/>
      </c>
      <c r="Q56" s="22" t="str">
        <f aca="false">IF(P56="","",IF(P56="LT 20% indexed",MAX(0,O56),M56))</f>
        <v/>
      </c>
    </row>
    <row r="57" customFormat="false" ht="15" hidden="false" customHeight="true" outlineLevel="0" collapsed="false">
      <c r="A57" s="23"/>
      <c r="B57" s="23"/>
      <c r="C57" s="24"/>
      <c r="D57" s="24"/>
      <c r="E57" s="25"/>
      <c r="F57" s="25"/>
      <c r="G57" s="25"/>
      <c r="H57" s="25"/>
      <c r="I57" s="25"/>
      <c r="J57" s="20" t="str">
        <f aca="false">IF(OR(B57="",C57="",D57=""),"",DATEDIF(C57,D57,"m"))</f>
        <v/>
      </c>
      <c r="K57" s="21" t="str">
        <f aca="false">IF(OR(B57="",C57="",D57=""),"",IF(B57=Lists!$E$10,"Short",IF(D57&gt;EDATE(C57,IF(OR(B57=Lists!$E$5,B57=Lists!$E$6),12,24)),"Long","Short")))</f>
        <v/>
      </c>
      <c r="L57" s="20" t="str">
        <f aca="false">IF(K57="","",IF(AND(B57=Lists!$E$5,K57="Long",C57&lt;DATE(2018,2,1),N(I57)&gt;0),MAX(G57,MIN(I57,E57)),IF(AND(C57&lt;DATE(2001,4,1),N(I57)&gt;0,B57&lt;&gt;Lists!$E$5),I57,G57)))</f>
        <v/>
      </c>
      <c r="M57" s="20" t="str">
        <f aca="false">IF(K57="","",E57-F57-L57-H57)</f>
        <v/>
      </c>
      <c r="N57" s="20" t="str">
        <f aca="false">IF(K57="","",IF(AND(K57="Long",B57=Lists!$E$7,C57&lt;DATE(2024,7,23)),ROUND((L57+H57)*INDEX(Lists!$C$5:$C$30,MATCH(MIN(MAX(Lists!$B$5:$B$30),YEAR(D57)-IF(MONTH(D57)&lt;4,1,0)),Lists!$B$5:$B$30,0))/INDEX(Lists!$C$5:$C$30,MATCH(MAX(2001,YEAR(C57)-IF(MONTH(C57)&lt;4,1,0)),Lists!$B$5:$B$30,0)),0),""))</f>
        <v/>
      </c>
      <c r="O57" s="20" t="str">
        <f aca="false">IF(N57="","",E57-F57-N57)</f>
        <v/>
      </c>
      <c r="P57" s="21" t="str">
        <f aca="false">IF(K57="","",IF(K57="Short",IF(B57=Lists!$E$5,"ST 20%","ST slab"),IF(B57=Lists!$E$5,"LT 112A",IF(N57="","LT 12.5%",IF(AND(M57&gt;0,O57*0.2&lt;M57*0.125),"LT 20% indexed","LT 12.5%")))))</f>
        <v/>
      </c>
      <c r="Q57" s="22" t="str">
        <f aca="false">IF(P57="","",IF(P57="LT 20% indexed",MAX(0,O57),M57))</f>
        <v/>
      </c>
    </row>
    <row r="58" customFormat="false" ht="15" hidden="false" customHeight="true" outlineLevel="0" collapsed="false">
      <c r="A58" s="23"/>
      <c r="B58" s="23"/>
      <c r="C58" s="24"/>
      <c r="D58" s="24"/>
      <c r="E58" s="25"/>
      <c r="F58" s="25"/>
      <c r="G58" s="25"/>
      <c r="H58" s="25"/>
      <c r="I58" s="25"/>
      <c r="J58" s="20" t="str">
        <f aca="false">IF(OR(B58="",C58="",D58=""),"",DATEDIF(C58,D58,"m"))</f>
        <v/>
      </c>
      <c r="K58" s="21" t="str">
        <f aca="false">IF(OR(B58="",C58="",D58=""),"",IF(B58=Lists!$E$10,"Short",IF(D58&gt;EDATE(C58,IF(OR(B58=Lists!$E$5,B58=Lists!$E$6),12,24)),"Long","Short")))</f>
        <v/>
      </c>
      <c r="L58" s="20" t="str">
        <f aca="false">IF(K58="","",IF(AND(B58=Lists!$E$5,K58="Long",C58&lt;DATE(2018,2,1),N(I58)&gt;0),MAX(G58,MIN(I58,E58)),IF(AND(C58&lt;DATE(2001,4,1),N(I58)&gt;0,B58&lt;&gt;Lists!$E$5),I58,G58)))</f>
        <v/>
      </c>
      <c r="M58" s="20" t="str">
        <f aca="false">IF(K58="","",E58-F58-L58-H58)</f>
        <v/>
      </c>
      <c r="N58" s="20" t="str">
        <f aca="false">IF(K58="","",IF(AND(K58="Long",B58=Lists!$E$7,C58&lt;DATE(2024,7,23)),ROUND((L58+H58)*INDEX(Lists!$C$5:$C$30,MATCH(MIN(MAX(Lists!$B$5:$B$30),YEAR(D58)-IF(MONTH(D58)&lt;4,1,0)),Lists!$B$5:$B$30,0))/INDEX(Lists!$C$5:$C$30,MATCH(MAX(2001,YEAR(C58)-IF(MONTH(C58)&lt;4,1,0)),Lists!$B$5:$B$30,0)),0),""))</f>
        <v/>
      </c>
      <c r="O58" s="20" t="str">
        <f aca="false">IF(N58="","",E58-F58-N58)</f>
        <v/>
      </c>
      <c r="P58" s="21" t="str">
        <f aca="false">IF(K58="","",IF(K58="Short",IF(B58=Lists!$E$5,"ST 20%","ST slab"),IF(B58=Lists!$E$5,"LT 112A",IF(N58="","LT 12.5%",IF(AND(M58&gt;0,O58*0.2&lt;M58*0.125),"LT 20% indexed","LT 12.5%")))))</f>
        <v/>
      </c>
      <c r="Q58" s="22" t="str">
        <f aca="false">IF(P58="","",IF(P58="LT 20% indexed",MAX(0,O58),M58))</f>
        <v/>
      </c>
    </row>
    <row r="59" customFormat="false" ht="15" hidden="false" customHeight="true" outlineLevel="0" collapsed="false">
      <c r="A59" s="23"/>
      <c r="B59" s="23"/>
      <c r="C59" s="24"/>
      <c r="D59" s="24"/>
      <c r="E59" s="25"/>
      <c r="F59" s="25"/>
      <c r="G59" s="25"/>
      <c r="H59" s="25"/>
      <c r="I59" s="25"/>
      <c r="J59" s="20" t="str">
        <f aca="false">IF(OR(B59="",C59="",D59=""),"",DATEDIF(C59,D59,"m"))</f>
        <v/>
      </c>
      <c r="K59" s="21" t="str">
        <f aca="false">IF(OR(B59="",C59="",D59=""),"",IF(B59=Lists!$E$10,"Short",IF(D59&gt;EDATE(C59,IF(OR(B59=Lists!$E$5,B59=Lists!$E$6),12,24)),"Long","Short")))</f>
        <v/>
      </c>
      <c r="L59" s="20" t="str">
        <f aca="false">IF(K59="","",IF(AND(B59=Lists!$E$5,K59="Long",C59&lt;DATE(2018,2,1),N(I59)&gt;0),MAX(G59,MIN(I59,E59)),IF(AND(C59&lt;DATE(2001,4,1),N(I59)&gt;0,B59&lt;&gt;Lists!$E$5),I59,G59)))</f>
        <v/>
      </c>
      <c r="M59" s="20" t="str">
        <f aca="false">IF(K59="","",E59-F59-L59-H59)</f>
        <v/>
      </c>
      <c r="N59" s="20" t="str">
        <f aca="false">IF(K59="","",IF(AND(K59="Long",B59=Lists!$E$7,C59&lt;DATE(2024,7,23)),ROUND((L59+H59)*INDEX(Lists!$C$5:$C$30,MATCH(MIN(MAX(Lists!$B$5:$B$30),YEAR(D59)-IF(MONTH(D59)&lt;4,1,0)),Lists!$B$5:$B$30,0))/INDEX(Lists!$C$5:$C$30,MATCH(MAX(2001,YEAR(C59)-IF(MONTH(C59)&lt;4,1,0)),Lists!$B$5:$B$30,0)),0),""))</f>
        <v/>
      </c>
      <c r="O59" s="20" t="str">
        <f aca="false">IF(N59="","",E59-F59-N59)</f>
        <v/>
      </c>
      <c r="P59" s="21" t="str">
        <f aca="false">IF(K59="","",IF(K59="Short",IF(B59=Lists!$E$5,"ST 20%","ST slab"),IF(B59=Lists!$E$5,"LT 112A",IF(N59="","LT 12.5%",IF(AND(M59&gt;0,O59*0.2&lt;M59*0.125),"LT 20% indexed","LT 12.5%")))))</f>
        <v/>
      </c>
      <c r="Q59" s="22" t="str">
        <f aca="false">IF(P59="","",IF(P59="LT 20% indexed",MAX(0,O59),M59))</f>
        <v/>
      </c>
    </row>
    <row r="60" customFormat="false" ht="15" hidden="false" customHeight="true" outlineLevel="0" collapsed="false">
      <c r="A60" s="23"/>
      <c r="B60" s="23"/>
      <c r="C60" s="24"/>
      <c r="D60" s="24"/>
      <c r="E60" s="25"/>
      <c r="F60" s="25"/>
      <c r="G60" s="25"/>
      <c r="H60" s="25"/>
      <c r="I60" s="25"/>
      <c r="J60" s="20" t="str">
        <f aca="false">IF(OR(B60="",C60="",D60=""),"",DATEDIF(C60,D60,"m"))</f>
        <v/>
      </c>
      <c r="K60" s="21" t="str">
        <f aca="false">IF(OR(B60="",C60="",D60=""),"",IF(B60=Lists!$E$10,"Short",IF(D60&gt;EDATE(C60,IF(OR(B60=Lists!$E$5,B60=Lists!$E$6),12,24)),"Long","Short")))</f>
        <v/>
      </c>
      <c r="L60" s="20" t="str">
        <f aca="false">IF(K60="","",IF(AND(B60=Lists!$E$5,K60="Long",C60&lt;DATE(2018,2,1),N(I60)&gt;0),MAX(G60,MIN(I60,E60)),IF(AND(C60&lt;DATE(2001,4,1),N(I60)&gt;0,B60&lt;&gt;Lists!$E$5),I60,G60)))</f>
        <v/>
      </c>
      <c r="M60" s="20" t="str">
        <f aca="false">IF(K60="","",E60-F60-L60-H60)</f>
        <v/>
      </c>
      <c r="N60" s="20" t="str">
        <f aca="false">IF(K60="","",IF(AND(K60="Long",B60=Lists!$E$7,C60&lt;DATE(2024,7,23)),ROUND((L60+H60)*INDEX(Lists!$C$5:$C$30,MATCH(MIN(MAX(Lists!$B$5:$B$30),YEAR(D60)-IF(MONTH(D60)&lt;4,1,0)),Lists!$B$5:$B$30,0))/INDEX(Lists!$C$5:$C$30,MATCH(MAX(2001,YEAR(C60)-IF(MONTH(C60)&lt;4,1,0)),Lists!$B$5:$B$30,0)),0),""))</f>
        <v/>
      </c>
      <c r="O60" s="20" t="str">
        <f aca="false">IF(N60="","",E60-F60-N60)</f>
        <v/>
      </c>
      <c r="P60" s="21" t="str">
        <f aca="false">IF(K60="","",IF(K60="Short",IF(B60=Lists!$E$5,"ST 20%","ST slab"),IF(B60=Lists!$E$5,"LT 112A",IF(N60="","LT 12.5%",IF(AND(M60&gt;0,O60*0.2&lt;M60*0.125),"LT 20% indexed","LT 12.5%")))))</f>
        <v/>
      </c>
      <c r="Q60" s="22" t="str">
        <f aca="false">IF(P60="","",IF(P60="LT 20% indexed",MAX(0,O60),M60))</f>
        <v/>
      </c>
    </row>
    <row r="61" customFormat="false" ht="15" hidden="false" customHeight="true" outlineLevel="0" collapsed="false">
      <c r="A61" s="23"/>
      <c r="B61" s="23"/>
      <c r="C61" s="24"/>
      <c r="D61" s="24"/>
      <c r="E61" s="25"/>
      <c r="F61" s="25"/>
      <c r="G61" s="25"/>
      <c r="H61" s="25"/>
      <c r="I61" s="25"/>
      <c r="J61" s="20" t="str">
        <f aca="false">IF(OR(B61="",C61="",D61=""),"",DATEDIF(C61,D61,"m"))</f>
        <v/>
      </c>
      <c r="K61" s="21" t="str">
        <f aca="false">IF(OR(B61="",C61="",D61=""),"",IF(B61=Lists!$E$10,"Short",IF(D61&gt;EDATE(C61,IF(OR(B61=Lists!$E$5,B61=Lists!$E$6),12,24)),"Long","Short")))</f>
        <v/>
      </c>
      <c r="L61" s="20" t="str">
        <f aca="false">IF(K61="","",IF(AND(B61=Lists!$E$5,K61="Long",C61&lt;DATE(2018,2,1),N(I61)&gt;0),MAX(G61,MIN(I61,E61)),IF(AND(C61&lt;DATE(2001,4,1),N(I61)&gt;0,B61&lt;&gt;Lists!$E$5),I61,G61)))</f>
        <v/>
      </c>
      <c r="M61" s="20" t="str">
        <f aca="false">IF(K61="","",E61-F61-L61-H61)</f>
        <v/>
      </c>
      <c r="N61" s="20" t="str">
        <f aca="false">IF(K61="","",IF(AND(K61="Long",B61=Lists!$E$7,C61&lt;DATE(2024,7,23)),ROUND((L61+H61)*INDEX(Lists!$C$5:$C$30,MATCH(MIN(MAX(Lists!$B$5:$B$30),YEAR(D61)-IF(MONTH(D61)&lt;4,1,0)),Lists!$B$5:$B$30,0))/INDEX(Lists!$C$5:$C$30,MATCH(MAX(2001,YEAR(C61)-IF(MONTH(C61)&lt;4,1,0)),Lists!$B$5:$B$30,0)),0),""))</f>
        <v/>
      </c>
      <c r="O61" s="20" t="str">
        <f aca="false">IF(N61="","",E61-F61-N61)</f>
        <v/>
      </c>
      <c r="P61" s="21" t="str">
        <f aca="false">IF(K61="","",IF(K61="Short",IF(B61=Lists!$E$5,"ST 20%","ST slab"),IF(B61=Lists!$E$5,"LT 112A",IF(N61="","LT 12.5%",IF(AND(M61&gt;0,O61*0.2&lt;M61*0.125),"LT 20% indexed","LT 12.5%")))))</f>
        <v/>
      </c>
      <c r="Q61" s="22" t="str">
        <f aca="false">IF(P61="","",IF(P61="LT 20% indexed",MAX(0,O61),M61))</f>
        <v/>
      </c>
    </row>
    <row r="62" customFormat="false" ht="15" hidden="false" customHeight="true" outlineLevel="0" collapsed="false">
      <c r="A62" s="23"/>
      <c r="B62" s="23"/>
      <c r="C62" s="24"/>
      <c r="D62" s="24"/>
      <c r="E62" s="25"/>
      <c r="F62" s="25"/>
      <c r="G62" s="25"/>
      <c r="H62" s="25"/>
      <c r="I62" s="25"/>
      <c r="J62" s="20" t="str">
        <f aca="false">IF(OR(B62="",C62="",D62=""),"",DATEDIF(C62,D62,"m"))</f>
        <v/>
      </c>
      <c r="K62" s="21" t="str">
        <f aca="false">IF(OR(B62="",C62="",D62=""),"",IF(B62=Lists!$E$10,"Short",IF(D62&gt;EDATE(C62,IF(OR(B62=Lists!$E$5,B62=Lists!$E$6),12,24)),"Long","Short")))</f>
        <v/>
      </c>
      <c r="L62" s="20" t="str">
        <f aca="false">IF(K62="","",IF(AND(B62=Lists!$E$5,K62="Long",C62&lt;DATE(2018,2,1),N(I62)&gt;0),MAX(G62,MIN(I62,E62)),IF(AND(C62&lt;DATE(2001,4,1),N(I62)&gt;0,B62&lt;&gt;Lists!$E$5),I62,G62)))</f>
        <v/>
      </c>
      <c r="M62" s="20" t="str">
        <f aca="false">IF(K62="","",E62-F62-L62-H62)</f>
        <v/>
      </c>
      <c r="N62" s="20" t="str">
        <f aca="false">IF(K62="","",IF(AND(K62="Long",B62=Lists!$E$7,C62&lt;DATE(2024,7,23)),ROUND((L62+H62)*INDEX(Lists!$C$5:$C$30,MATCH(MIN(MAX(Lists!$B$5:$B$30),YEAR(D62)-IF(MONTH(D62)&lt;4,1,0)),Lists!$B$5:$B$30,0))/INDEX(Lists!$C$5:$C$30,MATCH(MAX(2001,YEAR(C62)-IF(MONTH(C62)&lt;4,1,0)),Lists!$B$5:$B$30,0)),0),""))</f>
        <v/>
      </c>
      <c r="O62" s="20" t="str">
        <f aca="false">IF(N62="","",E62-F62-N62)</f>
        <v/>
      </c>
      <c r="P62" s="21" t="str">
        <f aca="false">IF(K62="","",IF(K62="Short",IF(B62=Lists!$E$5,"ST 20%","ST slab"),IF(B62=Lists!$E$5,"LT 112A",IF(N62="","LT 12.5%",IF(AND(M62&gt;0,O62*0.2&lt;M62*0.125),"LT 20% indexed","LT 12.5%")))))</f>
        <v/>
      </c>
      <c r="Q62" s="22" t="str">
        <f aca="false">IF(P62="","",IF(P62="LT 20% indexed",MAX(0,O62),M62))</f>
        <v/>
      </c>
    </row>
    <row r="63" customFormat="false" ht="15" hidden="false" customHeight="true" outlineLevel="0" collapsed="false">
      <c r="A63" s="23"/>
      <c r="B63" s="23"/>
      <c r="C63" s="24"/>
      <c r="D63" s="24"/>
      <c r="E63" s="25"/>
      <c r="F63" s="25"/>
      <c r="G63" s="25"/>
      <c r="H63" s="25"/>
      <c r="I63" s="25"/>
      <c r="J63" s="20" t="str">
        <f aca="false">IF(OR(B63="",C63="",D63=""),"",DATEDIF(C63,D63,"m"))</f>
        <v/>
      </c>
      <c r="K63" s="21" t="str">
        <f aca="false">IF(OR(B63="",C63="",D63=""),"",IF(B63=Lists!$E$10,"Short",IF(D63&gt;EDATE(C63,IF(OR(B63=Lists!$E$5,B63=Lists!$E$6),12,24)),"Long","Short")))</f>
        <v/>
      </c>
      <c r="L63" s="20" t="str">
        <f aca="false">IF(K63="","",IF(AND(B63=Lists!$E$5,K63="Long",C63&lt;DATE(2018,2,1),N(I63)&gt;0),MAX(G63,MIN(I63,E63)),IF(AND(C63&lt;DATE(2001,4,1),N(I63)&gt;0,B63&lt;&gt;Lists!$E$5),I63,G63)))</f>
        <v/>
      </c>
      <c r="M63" s="20" t="str">
        <f aca="false">IF(K63="","",E63-F63-L63-H63)</f>
        <v/>
      </c>
      <c r="N63" s="20" t="str">
        <f aca="false">IF(K63="","",IF(AND(K63="Long",B63=Lists!$E$7,C63&lt;DATE(2024,7,23)),ROUND((L63+H63)*INDEX(Lists!$C$5:$C$30,MATCH(MIN(MAX(Lists!$B$5:$B$30),YEAR(D63)-IF(MONTH(D63)&lt;4,1,0)),Lists!$B$5:$B$30,0))/INDEX(Lists!$C$5:$C$30,MATCH(MAX(2001,YEAR(C63)-IF(MONTH(C63)&lt;4,1,0)),Lists!$B$5:$B$30,0)),0),""))</f>
        <v/>
      </c>
      <c r="O63" s="20" t="str">
        <f aca="false">IF(N63="","",E63-F63-N63)</f>
        <v/>
      </c>
      <c r="P63" s="21" t="str">
        <f aca="false">IF(K63="","",IF(K63="Short",IF(B63=Lists!$E$5,"ST 20%","ST slab"),IF(B63=Lists!$E$5,"LT 112A",IF(N63="","LT 12.5%",IF(AND(M63&gt;0,O63*0.2&lt;M63*0.125),"LT 20% indexed","LT 12.5%")))))</f>
        <v/>
      </c>
      <c r="Q63" s="22" t="str">
        <f aca="false">IF(P63="","",IF(P63="LT 20% indexed",MAX(0,O63),M63))</f>
        <v/>
      </c>
    </row>
    <row r="64" customFormat="false" ht="15" hidden="false" customHeight="true" outlineLevel="0" collapsed="false">
      <c r="A64" s="23"/>
      <c r="B64" s="23"/>
      <c r="C64" s="24"/>
      <c r="D64" s="24"/>
      <c r="E64" s="25"/>
      <c r="F64" s="25"/>
      <c r="G64" s="25"/>
      <c r="H64" s="25"/>
      <c r="I64" s="25"/>
      <c r="J64" s="20" t="str">
        <f aca="false">IF(OR(B64="",C64="",D64=""),"",DATEDIF(C64,D64,"m"))</f>
        <v/>
      </c>
      <c r="K64" s="21" t="str">
        <f aca="false">IF(OR(B64="",C64="",D64=""),"",IF(B64=Lists!$E$10,"Short",IF(D64&gt;EDATE(C64,IF(OR(B64=Lists!$E$5,B64=Lists!$E$6),12,24)),"Long","Short")))</f>
        <v/>
      </c>
      <c r="L64" s="20" t="str">
        <f aca="false">IF(K64="","",IF(AND(B64=Lists!$E$5,K64="Long",C64&lt;DATE(2018,2,1),N(I64)&gt;0),MAX(G64,MIN(I64,E64)),IF(AND(C64&lt;DATE(2001,4,1),N(I64)&gt;0,B64&lt;&gt;Lists!$E$5),I64,G64)))</f>
        <v/>
      </c>
      <c r="M64" s="20" t="str">
        <f aca="false">IF(K64="","",E64-F64-L64-H64)</f>
        <v/>
      </c>
      <c r="N64" s="20" t="str">
        <f aca="false">IF(K64="","",IF(AND(K64="Long",B64=Lists!$E$7,C64&lt;DATE(2024,7,23)),ROUND((L64+H64)*INDEX(Lists!$C$5:$C$30,MATCH(MIN(MAX(Lists!$B$5:$B$30),YEAR(D64)-IF(MONTH(D64)&lt;4,1,0)),Lists!$B$5:$B$30,0))/INDEX(Lists!$C$5:$C$30,MATCH(MAX(2001,YEAR(C64)-IF(MONTH(C64)&lt;4,1,0)),Lists!$B$5:$B$30,0)),0),""))</f>
        <v/>
      </c>
      <c r="O64" s="20" t="str">
        <f aca="false">IF(N64="","",E64-F64-N64)</f>
        <v/>
      </c>
      <c r="P64" s="21" t="str">
        <f aca="false">IF(K64="","",IF(K64="Short",IF(B64=Lists!$E$5,"ST 20%","ST slab"),IF(B64=Lists!$E$5,"LT 112A",IF(N64="","LT 12.5%",IF(AND(M64&gt;0,O64*0.2&lt;M64*0.125),"LT 20% indexed","LT 12.5%")))))</f>
        <v/>
      </c>
      <c r="Q64" s="22" t="str">
        <f aca="false">IF(P64="","",IF(P64="LT 20% indexed",MAX(0,O64),M64))</f>
        <v/>
      </c>
    </row>
    <row r="65" customFormat="false" ht="15" hidden="false" customHeight="true" outlineLevel="0" collapsed="false">
      <c r="A65" s="23"/>
      <c r="B65" s="23"/>
      <c r="C65" s="24"/>
      <c r="D65" s="24"/>
      <c r="E65" s="25"/>
      <c r="F65" s="25"/>
      <c r="G65" s="25"/>
      <c r="H65" s="25"/>
      <c r="I65" s="25"/>
      <c r="J65" s="20" t="str">
        <f aca="false">IF(OR(B65="",C65="",D65=""),"",DATEDIF(C65,D65,"m"))</f>
        <v/>
      </c>
      <c r="K65" s="21" t="str">
        <f aca="false">IF(OR(B65="",C65="",D65=""),"",IF(B65=Lists!$E$10,"Short",IF(D65&gt;EDATE(C65,IF(OR(B65=Lists!$E$5,B65=Lists!$E$6),12,24)),"Long","Short")))</f>
        <v/>
      </c>
      <c r="L65" s="20" t="str">
        <f aca="false">IF(K65="","",IF(AND(B65=Lists!$E$5,K65="Long",C65&lt;DATE(2018,2,1),N(I65)&gt;0),MAX(G65,MIN(I65,E65)),IF(AND(C65&lt;DATE(2001,4,1),N(I65)&gt;0,B65&lt;&gt;Lists!$E$5),I65,G65)))</f>
        <v/>
      </c>
      <c r="M65" s="20" t="str">
        <f aca="false">IF(K65="","",E65-F65-L65-H65)</f>
        <v/>
      </c>
      <c r="N65" s="20" t="str">
        <f aca="false">IF(K65="","",IF(AND(K65="Long",B65=Lists!$E$7,C65&lt;DATE(2024,7,23)),ROUND((L65+H65)*INDEX(Lists!$C$5:$C$30,MATCH(MIN(MAX(Lists!$B$5:$B$30),YEAR(D65)-IF(MONTH(D65)&lt;4,1,0)),Lists!$B$5:$B$30,0))/INDEX(Lists!$C$5:$C$30,MATCH(MAX(2001,YEAR(C65)-IF(MONTH(C65)&lt;4,1,0)),Lists!$B$5:$B$30,0)),0),""))</f>
        <v/>
      </c>
      <c r="O65" s="20" t="str">
        <f aca="false">IF(N65="","",E65-F65-N65)</f>
        <v/>
      </c>
      <c r="P65" s="21" t="str">
        <f aca="false">IF(K65="","",IF(K65="Short",IF(B65=Lists!$E$5,"ST 20%","ST slab"),IF(B65=Lists!$E$5,"LT 112A",IF(N65="","LT 12.5%",IF(AND(M65&gt;0,O65*0.2&lt;M65*0.125),"LT 20% indexed","LT 12.5%")))))</f>
        <v/>
      </c>
      <c r="Q65" s="22" t="str">
        <f aca="false">IF(P65="","",IF(P65="LT 20% indexed",MAX(0,O65),M65))</f>
        <v/>
      </c>
    </row>
    <row r="66" customFormat="false" ht="15" hidden="false" customHeight="true" outlineLevel="0" collapsed="false">
      <c r="A66" s="23"/>
      <c r="B66" s="23"/>
      <c r="C66" s="24"/>
      <c r="D66" s="24"/>
      <c r="E66" s="25"/>
      <c r="F66" s="25"/>
      <c r="G66" s="25"/>
      <c r="H66" s="25"/>
      <c r="I66" s="25"/>
      <c r="J66" s="20" t="str">
        <f aca="false">IF(OR(B66="",C66="",D66=""),"",DATEDIF(C66,D66,"m"))</f>
        <v/>
      </c>
      <c r="K66" s="21" t="str">
        <f aca="false">IF(OR(B66="",C66="",D66=""),"",IF(B66=Lists!$E$10,"Short",IF(D66&gt;EDATE(C66,IF(OR(B66=Lists!$E$5,B66=Lists!$E$6),12,24)),"Long","Short")))</f>
        <v/>
      </c>
      <c r="L66" s="20" t="str">
        <f aca="false">IF(K66="","",IF(AND(B66=Lists!$E$5,K66="Long",C66&lt;DATE(2018,2,1),N(I66)&gt;0),MAX(G66,MIN(I66,E66)),IF(AND(C66&lt;DATE(2001,4,1),N(I66)&gt;0,B66&lt;&gt;Lists!$E$5),I66,G66)))</f>
        <v/>
      </c>
      <c r="M66" s="20" t="str">
        <f aca="false">IF(K66="","",E66-F66-L66-H66)</f>
        <v/>
      </c>
      <c r="N66" s="20" t="str">
        <f aca="false">IF(K66="","",IF(AND(K66="Long",B66=Lists!$E$7,C66&lt;DATE(2024,7,23)),ROUND((L66+H66)*INDEX(Lists!$C$5:$C$30,MATCH(MIN(MAX(Lists!$B$5:$B$30),YEAR(D66)-IF(MONTH(D66)&lt;4,1,0)),Lists!$B$5:$B$30,0))/INDEX(Lists!$C$5:$C$30,MATCH(MAX(2001,YEAR(C66)-IF(MONTH(C66)&lt;4,1,0)),Lists!$B$5:$B$30,0)),0),""))</f>
        <v/>
      </c>
      <c r="O66" s="20" t="str">
        <f aca="false">IF(N66="","",E66-F66-N66)</f>
        <v/>
      </c>
      <c r="P66" s="21" t="str">
        <f aca="false">IF(K66="","",IF(K66="Short",IF(B66=Lists!$E$5,"ST 20%","ST slab"),IF(B66=Lists!$E$5,"LT 112A",IF(N66="","LT 12.5%",IF(AND(M66&gt;0,O66*0.2&lt;M66*0.125),"LT 20% indexed","LT 12.5%")))))</f>
        <v/>
      </c>
      <c r="Q66" s="22" t="str">
        <f aca="false">IF(P66="","",IF(P66="LT 20% indexed",MAX(0,O66),M66))</f>
        <v/>
      </c>
    </row>
    <row r="67" customFormat="false" ht="15" hidden="false" customHeight="true" outlineLevel="0" collapsed="false">
      <c r="A67" s="23"/>
      <c r="B67" s="23"/>
      <c r="C67" s="24"/>
      <c r="D67" s="24"/>
      <c r="E67" s="25"/>
      <c r="F67" s="25"/>
      <c r="G67" s="25"/>
      <c r="H67" s="25"/>
      <c r="I67" s="25"/>
      <c r="J67" s="20" t="str">
        <f aca="false">IF(OR(B67="",C67="",D67=""),"",DATEDIF(C67,D67,"m"))</f>
        <v/>
      </c>
      <c r="K67" s="21" t="str">
        <f aca="false">IF(OR(B67="",C67="",D67=""),"",IF(B67=Lists!$E$10,"Short",IF(D67&gt;EDATE(C67,IF(OR(B67=Lists!$E$5,B67=Lists!$E$6),12,24)),"Long","Short")))</f>
        <v/>
      </c>
      <c r="L67" s="20" t="str">
        <f aca="false">IF(K67="","",IF(AND(B67=Lists!$E$5,K67="Long",C67&lt;DATE(2018,2,1),N(I67)&gt;0),MAX(G67,MIN(I67,E67)),IF(AND(C67&lt;DATE(2001,4,1),N(I67)&gt;0,B67&lt;&gt;Lists!$E$5),I67,G67)))</f>
        <v/>
      </c>
      <c r="M67" s="20" t="str">
        <f aca="false">IF(K67="","",E67-F67-L67-H67)</f>
        <v/>
      </c>
      <c r="N67" s="20" t="str">
        <f aca="false">IF(K67="","",IF(AND(K67="Long",B67=Lists!$E$7,C67&lt;DATE(2024,7,23)),ROUND((L67+H67)*INDEX(Lists!$C$5:$C$30,MATCH(MIN(MAX(Lists!$B$5:$B$30),YEAR(D67)-IF(MONTH(D67)&lt;4,1,0)),Lists!$B$5:$B$30,0))/INDEX(Lists!$C$5:$C$30,MATCH(MAX(2001,YEAR(C67)-IF(MONTH(C67)&lt;4,1,0)),Lists!$B$5:$B$30,0)),0),""))</f>
        <v/>
      </c>
      <c r="O67" s="20" t="str">
        <f aca="false">IF(N67="","",E67-F67-N67)</f>
        <v/>
      </c>
      <c r="P67" s="21" t="str">
        <f aca="false">IF(K67="","",IF(K67="Short",IF(B67=Lists!$E$5,"ST 20%","ST slab"),IF(B67=Lists!$E$5,"LT 112A",IF(N67="","LT 12.5%",IF(AND(M67&gt;0,O67*0.2&lt;M67*0.125),"LT 20% indexed","LT 12.5%")))))</f>
        <v/>
      </c>
      <c r="Q67" s="22" t="str">
        <f aca="false">IF(P67="","",IF(P67="LT 20% indexed",MAX(0,O67),M67))</f>
        <v/>
      </c>
    </row>
    <row r="68" customFormat="false" ht="15" hidden="false" customHeight="true" outlineLevel="0" collapsed="false">
      <c r="A68" s="23"/>
      <c r="B68" s="23"/>
      <c r="C68" s="24"/>
      <c r="D68" s="24"/>
      <c r="E68" s="25"/>
      <c r="F68" s="25"/>
      <c r="G68" s="25"/>
      <c r="H68" s="25"/>
      <c r="I68" s="25"/>
      <c r="J68" s="20" t="str">
        <f aca="false">IF(OR(B68="",C68="",D68=""),"",DATEDIF(C68,D68,"m"))</f>
        <v/>
      </c>
      <c r="K68" s="21" t="str">
        <f aca="false">IF(OR(B68="",C68="",D68=""),"",IF(B68=Lists!$E$10,"Short",IF(D68&gt;EDATE(C68,IF(OR(B68=Lists!$E$5,B68=Lists!$E$6),12,24)),"Long","Short")))</f>
        <v/>
      </c>
      <c r="L68" s="20" t="str">
        <f aca="false">IF(K68="","",IF(AND(B68=Lists!$E$5,K68="Long",C68&lt;DATE(2018,2,1),N(I68)&gt;0),MAX(G68,MIN(I68,E68)),IF(AND(C68&lt;DATE(2001,4,1),N(I68)&gt;0,B68&lt;&gt;Lists!$E$5),I68,G68)))</f>
        <v/>
      </c>
      <c r="M68" s="20" t="str">
        <f aca="false">IF(K68="","",E68-F68-L68-H68)</f>
        <v/>
      </c>
      <c r="N68" s="20" t="str">
        <f aca="false">IF(K68="","",IF(AND(K68="Long",B68=Lists!$E$7,C68&lt;DATE(2024,7,23)),ROUND((L68+H68)*INDEX(Lists!$C$5:$C$30,MATCH(MIN(MAX(Lists!$B$5:$B$30),YEAR(D68)-IF(MONTH(D68)&lt;4,1,0)),Lists!$B$5:$B$30,0))/INDEX(Lists!$C$5:$C$30,MATCH(MAX(2001,YEAR(C68)-IF(MONTH(C68)&lt;4,1,0)),Lists!$B$5:$B$30,0)),0),""))</f>
        <v/>
      </c>
      <c r="O68" s="20" t="str">
        <f aca="false">IF(N68="","",E68-F68-N68)</f>
        <v/>
      </c>
      <c r="P68" s="21" t="str">
        <f aca="false">IF(K68="","",IF(K68="Short",IF(B68=Lists!$E$5,"ST 20%","ST slab"),IF(B68=Lists!$E$5,"LT 112A",IF(N68="","LT 12.5%",IF(AND(M68&gt;0,O68*0.2&lt;M68*0.125),"LT 20% indexed","LT 12.5%")))))</f>
        <v/>
      </c>
      <c r="Q68" s="22" t="str">
        <f aca="false">IF(P68="","",IF(P68="LT 20% indexed",MAX(0,O68),M68))</f>
        <v/>
      </c>
    </row>
    <row r="69" customFormat="false" ht="15" hidden="false" customHeight="true" outlineLevel="0" collapsed="false">
      <c r="A69" s="23"/>
      <c r="B69" s="23"/>
      <c r="C69" s="24"/>
      <c r="D69" s="24"/>
      <c r="E69" s="25"/>
      <c r="F69" s="25"/>
      <c r="G69" s="25"/>
      <c r="H69" s="25"/>
      <c r="I69" s="25"/>
      <c r="J69" s="20" t="str">
        <f aca="false">IF(OR(B69="",C69="",D69=""),"",DATEDIF(C69,D69,"m"))</f>
        <v/>
      </c>
      <c r="K69" s="21" t="str">
        <f aca="false">IF(OR(B69="",C69="",D69=""),"",IF(B69=Lists!$E$10,"Short",IF(D69&gt;EDATE(C69,IF(OR(B69=Lists!$E$5,B69=Lists!$E$6),12,24)),"Long","Short")))</f>
        <v/>
      </c>
      <c r="L69" s="20" t="str">
        <f aca="false">IF(K69="","",IF(AND(B69=Lists!$E$5,K69="Long",C69&lt;DATE(2018,2,1),N(I69)&gt;0),MAX(G69,MIN(I69,E69)),IF(AND(C69&lt;DATE(2001,4,1),N(I69)&gt;0,B69&lt;&gt;Lists!$E$5),I69,G69)))</f>
        <v/>
      </c>
      <c r="M69" s="20" t="str">
        <f aca="false">IF(K69="","",E69-F69-L69-H69)</f>
        <v/>
      </c>
      <c r="N69" s="20" t="str">
        <f aca="false">IF(K69="","",IF(AND(K69="Long",B69=Lists!$E$7,C69&lt;DATE(2024,7,23)),ROUND((L69+H69)*INDEX(Lists!$C$5:$C$30,MATCH(MIN(MAX(Lists!$B$5:$B$30),YEAR(D69)-IF(MONTH(D69)&lt;4,1,0)),Lists!$B$5:$B$30,0))/INDEX(Lists!$C$5:$C$30,MATCH(MAX(2001,YEAR(C69)-IF(MONTH(C69)&lt;4,1,0)),Lists!$B$5:$B$30,0)),0),""))</f>
        <v/>
      </c>
      <c r="O69" s="20" t="str">
        <f aca="false">IF(N69="","",E69-F69-N69)</f>
        <v/>
      </c>
      <c r="P69" s="21" t="str">
        <f aca="false">IF(K69="","",IF(K69="Short",IF(B69=Lists!$E$5,"ST 20%","ST slab"),IF(B69=Lists!$E$5,"LT 112A",IF(N69="","LT 12.5%",IF(AND(M69&gt;0,O69*0.2&lt;M69*0.125),"LT 20% indexed","LT 12.5%")))))</f>
        <v/>
      </c>
      <c r="Q69" s="22" t="str">
        <f aca="false">IF(P69="","",IF(P69="LT 20% indexed",MAX(0,O69),M69))</f>
        <v/>
      </c>
    </row>
    <row r="70" customFormat="false" ht="15" hidden="false" customHeight="true" outlineLevel="0" collapsed="false">
      <c r="A70" s="23"/>
      <c r="B70" s="23"/>
      <c r="C70" s="24"/>
      <c r="D70" s="24"/>
      <c r="E70" s="25"/>
      <c r="F70" s="25"/>
      <c r="G70" s="25"/>
      <c r="H70" s="25"/>
      <c r="I70" s="25"/>
      <c r="J70" s="20" t="str">
        <f aca="false">IF(OR(B70="",C70="",D70=""),"",DATEDIF(C70,D70,"m"))</f>
        <v/>
      </c>
      <c r="K70" s="21" t="str">
        <f aca="false">IF(OR(B70="",C70="",D70=""),"",IF(B70=Lists!$E$10,"Short",IF(D70&gt;EDATE(C70,IF(OR(B70=Lists!$E$5,B70=Lists!$E$6),12,24)),"Long","Short")))</f>
        <v/>
      </c>
      <c r="L70" s="20" t="str">
        <f aca="false">IF(K70="","",IF(AND(B70=Lists!$E$5,K70="Long",C70&lt;DATE(2018,2,1),N(I70)&gt;0),MAX(G70,MIN(I70,E70)),IF(AND(C70&lt;DATE(2001,4,1),N(I70)&gt;0,B70&lt;&gt;Lists!$E$5),I70,G70)))</f>
        <v/>
      </c>
      <c r="M70" s="20" t="str">
        <f aca="false">IF(K70="","",E70-F70-L70-H70)</f>
        <v/>
      </c>
      <c r="N70" s="20" t="str">
        <f aca="false">IF(K70="","",IF(AND(K70="Long",B70=Lists!$E$7,C70&lt;DATE(2024,7,23)),ROUND((L70+H70)*INDEX(Lists!$C$5:$C$30,MATCH(MIN(MAX(Lists!$B$5:$B$30),YEAR(D70)-IF(MONTH(D70)&lt;4,1,0)),Lists!$B$5:$B$30,0))/INDEX(Lists!$C$5:$C$30,MATCH(MAX(2001,YEAR(C70)-IF(MONTH(C70)&lt;4,1,0)),Lists!$B$5:$B$30,0)),0),""))</f>
        <v/>
      </c>
      <c r="O70" s="20" t="str">
        <f aca="false">IF(N70="","",E70-F70-N70)</f>
        <v/>
      </c>
      <c r="P70" s="21" t="str">
        <f aca="false">IF(K70="","",IF(K70="Short",IF(B70=Lists!$E$5,"ST 20%","ST slab"),IF(B70=Lists!$E$5,"LT 112A",IF(N70="","LT 12.5%",IF(AND(M70&gt;0,O70*0.2&lt;M70*0.125),"LT 20% indexed","LT 12.5%")))))</f>
        <v/>
      </c>
      <c r="Q70" s="22" t="str">
        <f aca="false">IF(P70="","",IF(P70="LT 20% indexed",MAX(0,O70),M70))</f>
        <v/>
      </c>
    </row>
    <row r="71" customFormat="false" ht="15" hidden="false" customHeight="true" outlineLevel="0" collapsed="false">
      <c r="A71" s="23"/>
      <c r="B71" s="23"/>
      <c r="C71" s="24"/>
      <c r="D71" s="24"/>
      <c r="E71" s="25"/>
      <c r="F71" s="25"/>
      <c r="G71" s="25"/>
      <c r="H71" s="25"/>
      <c r="I71" s="25"/>
      <c r="J71" s="20" t="str">
        <f aca="false">IF(OR(B71="",C71="",D71=""),"",DATEDIF(C71,D71,"m"))</f>
        <v/>
      </c>
      <c r="K71" s="21" t="str">
        <f aca="false">IF(OR(B71="",C71="",D71=""),"",IF(B71=Lists!$E$10,"Short",IF(D71&gt;EDATE(C71,IF(OR(B71=Lists!$E$5,B71=Lists!$E$6),12,24)),"Long","Short")))</f>
        <v/>
      </c>
      <c r="L71" s="20" t="str">
        <f aca="false">IF(K71="","",IF(AND(B71=Lists!$E$5,K71="Long",C71&lt;DATE(2018,2,1),N(I71)&gt;0),MAX(G71,MIN(I71,E71)),IF(AND(C71&lt;DATE(2001,4,1),N(I71)&gt;0,B71&lt;&gt;Lists!$E$5),I71,G71)))</f>
        <v/>
      </c>
      <c r="M71" s="20" t="str">
        <f aca="false">IF(K71="","",E71-F71-L71-H71)</f>
        <v/>
      </c>
      <c r="N71" s="20" t="str">
        <f aca="false">IF(K71="","",IF(AND(K71="Long",B71=Lists!$E$7,C71&lt;DATE(2024,7,23)),ROUND((L71+H71)*INDEX(Lists!$C$5:$C$30,MATCH(MIN(MAX(Lists!$B$5:$B$30),YEAR(D71)-IF(MONTH(D71)&lt;4,1,0)),Lists!$B$5:$B$30,0))/INDEX(Lists!$C$5:$C$30,MATCH(MAX(2001,YEAR(C71)-IF(MONTH(C71)&lt;4,1,0)),Lists!$B$5:$B$30,0)),0),""))</f>
        <v/>
      </c>
      <c r="O71" s="20" t="str">
        <f aca="false">IF(N71="","",E71-F71-N71)</f>
        <v/>
      </c>
      <c r="P71" s="21" t="str">
        <f aca="false">IF(K71="","",IF(K71="Short",IF(B71=Lists!$E$5,"ST 20%","ST slab"),IF(B71=Lists!$E$5,"LT 112A",IF(N71="","LT 12.5%",IF(AND(M71&gt;0,O71*0.2&lt;M71*0.125),"LT 20% indexed","LT 12.5%")))))</f>
        <v/>
      </c>
      <c r="Q71" s="22" t="str">
        <f aca="false">IF(P71="","",IF(P71="LT 20% indexed",MAX(0,O71),M71))</f>
        <v/>
      </c>
    </row>
    <row r="72" customFormat="false" ht="15" hidden="false" customHeight="true" outlineLevel="0" collapsed="false">
      <c r="A72" s="23"/>
      <c r="B72" s="23"/>
      <c r="C72" s="24"/>
      <c r="D72" s="24"/>
      <c r="E72" s="25"/>
      <c r="F72" s="25"/>
      <c r="G72" s="25"/>
      <c r="H72" s="25"/>
      <c r="I72" s="25"/>
      <c r="J72" s="20" t="str">
        <f aca="false">IF(OR(B72="",C72="",D72=""),"",DATEDIF(C72,D72,"m"))</f>
        <v/>
      </c>
      <c r="K72" s="21" t="str">
        <f aca="false">IF(OR(B72="",C72="",D72=""),"",IF(B72=Lists!$E$10,"Short",IF(D72&gt;EDATE(C72,IF(OR(B72=Lists!$E$5,B72=Lists!$E$6),12,24)),"Long","Short")))</f>
        <v/>
      </c>
      <c r="L72" s="20" t="str">
        <f aca="false">IF(K72="","",IF(AND(B72=Lists!$E$5,K72="Long",C72&lt;DATE(2018,2,1),N(I72)&gt;0),MAX(G72,MIN(I72,E72)),IF(AND(C72&lt;DATE(2001,4,1),N(I72)&gt;0,B72&lt;&gt;Lists!$E$5),I72,G72)))</f>
        <v/>
      </c>
      <c r="M72" s="20" t="str">
        <f aca="false">IF(K72="","",E72-F72-L72-H72)</f>
        <v/>
      </c>
      <c r="N72" s="20" t="str">
        <f aca="false">IF(K72="","",IF(AND(K72="Long",B72=Lists!$E$7,C72&lt;DATE(2024,7,23)),ROUND((L72+H72)*INDEX(Lists!$C$5:$C$30,MATCH(MIN(MAX(Lists!$B$5:$B$30),YEAR(D72)-IF(MONTH(D72)&lt;4,1,0)),Lists!$B$5:$B$30,0))/INDEX(Lists!$C$5:$C$30,MATCH(MAX(2001,YEAR(C72)-IF(MONTH(C72)&lt;4,1,0)),Lists!$B$5:$B$30,0)),0),""))</f>
        <v/>
      </c>
      <c r="O72" s="20" t="str">
        <f aca="false">IF(N72="","",E72-F72-N72)</f>
        <v/>
      </c>
      <c r="P72" s="21" t="str">
        <f aca="false">IF(K72="","",IF(K72="Short",IF(B72=Lists!$E$5,"ST 20%","ST slab"),IF(B72=Lists!$E$5,"LT 112A",IF(N72="","LT 12.5%",IF(AND(M72&gt;0,O72*0.2&lt;M72*0.125),"LT 20% indexed","LT 12.5%")))))</f>
        <v/>
      </c>
      <c r="Q72" s="22" t="str">
        <f aca="false">IF(P72="","",IF(P72="LT 20% indexed",MAX(0,O72),M72))</f>
        <v/>
      </c>
    </row>
    <row r="73" customFormat="false" ht="15" hidden="false" customHeight="true" outlineLevel="0" collapsed="false">
      <c r="A73" s="23"/>
      <c r="B73" s="23"/>
      <c r="C73" s="24"/>
      <c r="D73" s="24"/>
      <c r="E73" s="25"/>
      <c r="F73" s="25"/>
      <c r="G73" s="25"/>
      <c r="H73" s="25"/>
      <c r="I73" s="25"/>
      <c r="J73" s="20" t="str">
        <f aca="false">IF(OR(B73="",C73="",D73=""),"",DATEDIF(C73,D73,"m"))</f>
        <v/>
      </c>
      <c r="K73" s="21" t="str">
        <f aca="false">IF(OR(B73="",C73="",D73=""),"",IF(B73=Lists!$E$10,"Short",IF(D73&gt;EDATE(C73,IF(OR(B73=Lists!$E$5,B73=Lists!$E$6),12,24)),"Long","Short")))</f>
        <v/>
      </c>
      <c r="L73" s="20" t="str">
        <f aca="false">IF(K73="","",IF(AND(B73=Lists!$E$5,K73="Long",C73&lt;DATE(2018,2,1),N(I73)&gt;0),MAX(G73,MIN(I73,E73)),IF(AND(C73&lt;DATE(2001,4,1),N(I73)&gt;0,B73&lt;&gt;Lists!$E$5),I73,G73)))</f>
        <v/>
      </c>
      <c r="M73" s="20" t="str">
        <f aca="false">IF(K73="","",E73-F73-L73-H73)</f>
        <v/>
      </c>
      <c r="N73" s="20" t="str">
        <f aca="false">IF(K73="","",IF(AND(K73="Long",B73=Lists!$E$7,C73&lt;DATE(2024,7,23)),ROUND((L73+H73)*INDEX(Lists!$C$5:$C$30,MATCH(MIN(MAX(Lists!$B$5:$B$30),YEAR(D73)-IF(MONTH(D73)&lt;4,1,0)),Lists!$B$5:$B$30,0))/INDEX(Lists!$C$5:$C$30,MATCH(MAX(2001,YEAR(C73)-IF(MONTH(C73)&lt;4,1,0)),Lists!$B$5:$B$30,0)),0),""))</f>
        <v/>
      </c>
      <c r="O73" s="20" t="str">
        <f aca="false">IF(N73="","",E73-F73-N73)</f>
        <v/>
      </c>
      <c r="P73" s="21" t="str">
        <f aca="false">IF(K73="","",IF(K73="Short",IF(B73=Lists!$E$5,"ST 20%","ST slab"),IF(B73=Lists!$E$5,"LT 112A",IF(N73="","LT 12.5%",IF(AND(M73&gt;0,O73*0.2&lt;M73*0.125),"LT 20% indexed","LT 12.5%")))))</f>
        <v/>
      </c>
      <c r="Q73" s="22" t="str">
        <f aca="false">IF(P73="","",IF(P73="LT 20% indexed",MAX(0,O73),M73))</f>
        <v/>
      </c>
    </row>
    <row r="74" customFormat="false" ht="15" hidden="false" customHeight="true" outlineLevel="0" collapsed="false">
      <c r="A74" s="23"/>
      <c r="B74" s="23"/>
      <c r="C74" s="24"/>
      <c r="D74" s="24"/>
      <c r="E74" s="25"/>
      <c r="F74" s="25"/>
      <c r="G74" s="25"/>
      <c r="H74" s="25"/>
      <c r="I74" s="25"/>
      <c r="J74" s="20" t="str">
        <f aca="false">IF(OR(B74="",C74="",D74=""),"",DATEDIF(C74,D74,"m"))</f>
        <v/>
      </c>
      <c r="K74" s="21" t="str">
        <f aca="false">IF(OR(B74="",C74="",D74=""),"",IF(B74=Lists!$E$10,"Short",IF(D74&gt;EDATE(C74,IF(OR(B74=Lists!$E$5,B74=Lists!$E$6),12,24)),"Long","Short")))</f>
        <v/>
      </c>
      <c r="L74" s="20" t="str">
        <f aca="false">IF(K74="","",IF(AND(B74=Lists!$E$5,K74="Long",C74&lt;DATE(2018,2,1),N(I74)&gt;0),MAX(G74,MIN(I74,E74)),IF(AND(C74&lt;DATE(2001,4,1),N(I74)&gt;0,B74&lt;&gt;Lists!$E$5),I74,G74)))</f>
        <v/>
      </c>
      <c r="M74" s="20" t="str">
        <f aca="false">IF(K74="","",E74-F74-L74-H74)</f>
        <v/>
      </c>
      <c r="N74" s="20" t="str">
        <f aca="false">IF(K74="","",IF(AND(K74="Long",B74=Lists!$E$7,C74&lt;DATE(2024,7,23)),ROUND((L74+H74)*INDEX(Lists!$C$5:$C$30,MATCH(MIN(MAX(Lists!$B$5:$B$30),YEAR(D74)-IF(MONTH(D74)&lt;4,1,0)),Lists!$B$5:$B$30,0))/INDEX(Lists!$C$5:$C$30,MATCH(MAX(2001,YEAR(C74)-IF(MONTH(C74)&lt;4,1,0)),Lists!$B$5:$B$30,0)),0),""))</f>
        <v/>
      </c>
      <c r="O74" s="20" t="str">
        <f aca="false">IF(N74="","",E74-F74-N74)</f>
        <v/>
      </c>
      <c r="P74" s="21" t="str">
        <f aca="false">IF(K74="","",IF(K74="Short",IF(B74=Lists!$E$5,"ST 20%","ST slab"),IF(B74=Lists!$E$5,"LT 112A",IF(N74="","LT 12.5%",IF(AND(M74&gt;0,O74*0.2&lt;M74*0.125),"LT 20% indexed","LT 12.5%")))))</f>
        <v/>
      </c>
      <c r="Q74" s="22" t="str">
        <f aca="false">IF(P74="","",IF(P74="LT 20% indexed",MAX(0,O74),M74))</f>
        <v/>
      </c>
    </row>
    <row r="75" customFormat="false" ht="15" hidden="false" customHeight="true" outlineLevel="0" collapsed="false">
      <c r="A75" s="23"/>
      <c r="B75" s="23"/>
      <c r="C75" s="24"/>
      <c r="D75" s="24"/>
      <c r="E75" s="25"/>
      <c r="F75" s="25"/>
      <c r="G75" s="25"/>
      <c r="H75" s="25"/>
      <c r="I75" s="25"/>
      <c r="J75" s="20" t="str">
        <f aca="false">IF(OR(B75="",C75="",D75=""),"",DATEDIF(C75,D75,"m"))</f>
        <v/>
      </c>
      <c r="K75" s="21" t="str">
        <f aca="false">IF(OR(B75="",C75="",D75=""),"",IF(B75=Lists!$E$10,"Short",IF(D75&gt;EDATE(C75,IF(OR(B75=Lists!$E$5,B75=Lists!$E$6),12,24)),"Long","Short")))</f>
        <v/>
      </c>
      <c r="L75" s="20" t="str">
        <f aca="false">IF(K75="","",IF(AND(B75=Lists!$E$5,K75="Long",C75&lt;DATE(2018,2,1),N(I75)&gt;0),MAX(G75,MIN(I75,E75)),IF(AND(C75&lt;DATE(2001,4,1),N(I75)&gt;0,B75&lt;&gt;Lists!$E$5),I75,G75)))</f>
        <v/>
      </c>
      <c r="M75" s="20" t="str">
        <f aca="false">IF(K75="","",E75-F75-L75-H75)</f>
        <v/>
      </c>
      <c r="N75" s="20" t="str">
        <f aca="false">IF(K75="","",IF(AND(K75="Long",B75=Lists!$E$7,C75&lt;DATE(2024,7,23)),ROUND((L75+H75)*INDEX(Lists!$C$5:$C$30,MATCH(MIN(MAX(Lists!$B$5:$B$30),YEAR(D75)-IF(MONTH(D75)&lt;4,1,0)),Lists!$B$5:$B$30,0))/INDEX(Lists!$C$5:$C$30,MATCH(MAX(2001,YEAR(C75)-IF(MONTH(C75)&lt;4,1,0)),Lists!$B$5:$B$30,0)),0),""))</f>
        <v/>
      </c>
      <c r="O75" s="20" t="str">
        <f aca="false">IF(N75="","",E75-F75-N75)</f>
        <v/>
      </c>
      <c r="P75" s="21" t="str">
        <f aca="false">IF(K75="","",IF(K75="Short",IF(B75=Lists!$E$5,"ST 20%","ST slab"),IF(B75=Lists!$E$5,"LT 112A",IF(N75="","LT 12.5%",IF(AND(M75&gt;0,O75*0.2&lt;M75*0.125),"LT 20% indexed","LT 12.5%")))))</f>
        <v/>
      </c>
      <c r="Q75" s="22" t="str">
        <f aca="false">IF(P75="","",IF(P75="LT 20% indexed",MAX(0,O75),M75))</f>
        <v/>
      </c>
    </row>
    <row r="76" customFormat="false" ht="15" hidden="false" customHeight="true" outlineLevel="0" collapsed="false">
      <c r="A76" s="23"/>
      <c r="B76" s="23"/>
      <c r="C76" s="24"/>
      <c r="D76" s="24"/>
      <c r="E76" s="25"/>
      <c r="F76" s="25"/>
      <c r="G76" s="25"/>
      <c r="H76" s="25"/>
      <c r="I76" s="25"/>
      <c r="J76" s="20" t="str">
        <f aca="false">IF(OR(B76="",C76="",D76=""),"",DATEDIF(C76,D76,"m"))</f>
        <v/>
      </c>
      <c r="K76" s="21" t="str">
        <f aca="false">IF(OR(B76="",C76="",D76=""),"",IF(B76=Lists!$E$10,"Short",IF(D76&gt;EDATE(C76,IF(OR(B76=Lists!$E$5,B76=Lists!$E$6),12,24)),"Long","Short")))</f>
        <v/>
      </c>
      <c r="L76" s="20" t="str">
        <f aca="false">IF(K76="","",IF(AND(B76=Lists!$E$5,K76="Long",C76&lt;DATE(2018,2,1),N(I76)&gt;0),MAX(G76,MIN(I76,E76)),IF(AND(C76&lt;DATE(2001,4,1),N(I76)&gt;0,B76&lt;&gt;Lists!$E$5),I76,G76)))</f>
        <v/>
      </c>
      <c r="M76" s="20" t="str">
        <f aca="false">IF(K76="","",E76-F76-L76-H76)</f>
        <v/>
      </c>
      <c r="N76" s="20" t="str">
        <f aca="false">IF(K76="","",IF(AND(K76="Long",B76=Lists!$E$7,C76&lt;DATE(2024,7,23)),ROUND((L76+H76)*INDEX(Lists!$C$5:$C$30,MATCH(MIN(MAX(Lists!$B$5:$B$30),YEAR(D76)-IF(MONTH(D76)&lt;4,1,0)),Lists!$B$5:$B$30,0))/INDEX(Lists!$C$5:$C$30,MATCH(MAX(2001,YEAR(C76)-IF(MONTH(C76)&lt;4,1,0)),Lists!$B$5:$B$30,0)),0),""))</f>
        <v/>
      </c>
      <c r="O76" s="20" t="str">
        <f aca="false">IF(N76="","",E76-F76-N76)</f>
        <v/>
      </c>
      <c r="P76" s="21" t="str">
        <f aca="false">IF(K76="","",IF(K76="Short",IF(B76=Lists!$E$5,"ST 20%","ST slab"),IF(B76=Lists!$E$5,"LT 112A",IF(N76="","LT 12.5%",IF(AND(M76&gt;0,O76*0.2&lt;M76*0.125),"LT 20% indexed","LT 12.5%")))))</f>
        <v/>
      </c>
      <c r="Q76" s="22" t="str">
        <f aca="false">IF(P76="","",IF(P76="LT 20% indexed",MAX(0,O76),M76))</f>
        <v/>
      </c>
    </row>
    <row r="77" customFormat="false" ht="15" hidden="false" customHeight="true" outlineLevel="0" collapsed="false">
      <c r="A77" s="23"/>
      <c r="B77" s="23"/>
      <c r="C77" s="24"/>
      <c r="D77" s="24"/>
      <c r="E77" s="25"/>
      <c r="F77" s="25"/>
      <c r="G77" s="25"/>
      <c r="H77" s="25"/>
      <c r="I77" s="25"/>
      <c r="J77" s="20" t="str">
        <f aca="false">IF(OR(B77="",C77="",D77=""),"",DATEDIF(C77,D77,"m"))</f>
        <v/>
      </c>
      <c r="K77" s="21" t="str">
        <f aca="false">IF(OR(B77="",C77="",D77=""),"",IF(B77=Lists!$E$10,"Short",IF(D77&gt;EDATE(C77,IF(OR(B77=Lists!$E$5,B77=Lists!$E$6),12,24)),"Long","Short")))</f>
        <v/>
      </c>
      <c r="L77" s="20" t="str">
        <f aca="false">IF(K77="","",IF(AND(B77=Lists!$E$5,K77="Long",C77&lt;DATE(2018,2,1),N(I77)&gt;0),MAX(G77,MIN(I77,E77)),IF(AND(C77&lt;DATE(2001,4,1),N(I77)&gt;0,B77&lt;&gt;Lists!$E$5),I77,G77)))</f>
        <v/>
      </c>
      <c r="M77" s="20" t="str">
        <f aca="false">IF(K77="","",E77-F77-L77-H77)</f>
        <v/>
      </c>
      <c r="N77" s="20" t="str">
        <f aca="false">IF(K77="","",IF(AND(K77="Long",B77=Lists!$E$7,C77&lt;DATE(2024,7,23)),ROUND((L77+H77)*INDEX(Lists!$C$5:$C$30,MATCH(MIN(MAX(Lists!$B$5:$B$30),YEAR(D77)-IF(MONTH(D77)&lt;4,1,0)),Lists!$B$5:$B$30,0))/INDEX(Lists!$C$5:$C$30,MATCH(MAX(2001,YEAR(C77)-IF(MONTH(C77)&lt;4,1,0)),Lists!$B$5:$B$30,0)),0),""))</f>
        <v/>
      </c>
      <c r="O77" s="20" t="str">
        <f aca="false">IF(N77="","",E77-F77-N77)</f>
        <v/>
      </c>
      <c r="P77" s="21" t="str">
        <f aca="false">IF(K77="","",IF(K77="Short",IF(B77=Lists!$E$5,"ST 20%","ST slab"),IF(B77=Lists!$E$5,"LT 112A",IF(N77="","LT 12.5%",IF(AND(M77&gt;0,O77*0.2&lt;M77*0.125),"LT 20% indexed","LT 12.5%")))))</f>
        <v/>
      </c>
      <c r="Q77" s="22" t="str">
        <f aca="false">IF(P77="","",IF(P77="LT 20% indexed",MAX(0,O77),M77))</f>
        <v/>
      </c>
    </row>
    <row r="78" customFormat="false" ht="15" hidden="false" customHeight="true" outlineLevel="0" collapsed="false">
      <c r="A78" s="23"/>
      <c r="B78" s="23"/>
      <c r="C78" s="24"/>
      <c r="D78" s="24"/>
      <c r="E78" s="25"/>
      <c r="F78" s="25"/>
      <c r="G78" s="25"/>
      <c r="H78" s="25"/>
      <c r="I78" s="25"/>
      <c r="J78" s="20" t="str">
        <f aca="false">IF(OR(B78="",C78="",D78=""),"",DATEDIF(C78,D78,"m"))</f>
        <v/>
      </c>
      <c r="K78" s="21" t="str">
        <f aca="false">IF(OR(B78="",C78="",D78=""),"",IF(B78=Lists!$E$10,"Short",IF(D78&gt;EDATE(C78,IF(OR(B78=Lists!$E$5,B78=Lists!$E$6),12,24)),"Long","Short")))</f>
        <v/>
      </c>
      <c r="L78" s="20" t="str">
        <f aca="false">IF(K78="","",IF(AND(B78=Lists!$E$5,K78="Long",C78&lt;DATE(2018,2,1),N(I78)&gt;0),MAX(G78,MIN(I78,E78)),IF(AND(C78&lt;DATE(2001,4,1),N(I78)&gt;0,B78&lt;&gt;Lists!$E$5),I78,G78)))</f>
        <v/>
      </c>
      <c r="M78" s="20" t="str">
        <f aca="false">IF(K78="","",E78-F78-L78-H78)</f>
        <v/>
      </c>
      <c r="N78" s="20" t="str">
        <f aca="false">IF(K78="","",IF(AND(K78="Long",B78=Lists!$E$7,C78&lt;DATE(2024,7,23)),ROUND((L78+H78)*INDEX(Lists!$C$5:$C$30,MATCH(MIN(MAX(Lists!$B$5:$B$30),YEAR(D78)-IF(MONTH(D78)&lt;4,1,0)),Lists!$B$5:$B$30,0))/INDEX(Lists!$C$5:$C$30,MATCH(MAX(2001,YEAR(C78)-IF(MONTH(C78)&lt;4,1,0)),Lists!$B$5:$B$30,0)),0),""))</f>
        <v/>
      </c>
      <c r="O78" s="20" t="str">
        <f aca="false">IF(N78="","",E78-F78-N78)</f>
        <v/>
      </c>
      <c r="P78" s="21" t="str">
        <f aca="false">IF(K78="","",IF(K78="Short",IF(B78=Lists!$E$5,"ST 20%","ST slab"),IF(B78=Lists!$E$5,"LT 112A",IF(N78="","LT 12.5%",IF(AND(M78&gt;0,O78*0.2&lt;M78*0.125),"LT 20% indexed","LT 12.5%")))))</f>
        <v/>
      </c>
      <c r="Q78" s="22" t="str">
        <f aca="false">IF(P78="","",IF(P78="LT 20% indexed",MAX(0,O78),M78))</f>
        <v/>
      </c>
    </row>
    <row r="79" customFormat="false" ht="15" hidden="false" customHeight="true" outlineLevel="0" collapsed="false">
      <c r="A79" s="23"/>
      <c r="B79" s="23"/>
      <c r="C79" s="24"/>
      <c r="D79" s="24"/>
      <c r="E79" s="25"/>
      <c r="F79" s="25"/>
      <c r="G79" s="25"/>
      <c r="H79" s="25"/>
      <c r="I79" s="25"/>
      <c r="J79" s="20" t="str">
        <f aca="false">IF(OR(B79="",C79="",D79=""),"",DATEDIF(C79,D79,"m"))</f>
        <v/>
      </c>
      <c r="K79" s="21" t="str">
        <f aca="false">IF(OR(B79="",C79="",D79=""),"",IF(B79=Lists!$E$10,"Short",IF(D79&gt;EDATE(C79,IF(OR(B79=Lists!$E$5,B79=Lists!$E$6),12,24)),"Long","Short")))</f>
        <v/>
      </c>
      <c r="L79" s="20" t="str">
        <f aca="false">IF(K79="","",IF(AND(B79=Lists!$E$5,K79="Long",C79&lt;DATE(2018,2,1),N(I79)&gt;0),MAX(G79,MIN(I79,E79)),IF(AND(C79&lt;DATE(2001,4,1),N(I79)&gt;0,B79&lt;&gt;Lists!$E$5),I79,G79)))</f>
        <v/>
      </c>
      <c r="M79" s="20" t="str">
        <f aca="false">IF(K79="","",E79-F79-L79-H79)</f>
        <v/>
      </c>
      <c r="N79" s="20" t="str">
        <f aca="false">IF(K79="","",IF(AND(K79="Long",B79=Lists!$E$7,C79&lt;DATE(2024,7,23)),ROUND((L79+H79)*INDEX(Lists!$C$5:$C$30,MATCH(MIN(MAX(Lists!$B$5:$B$30),YEAR(D79)-IF(MONTH(D79)&lt;4,1,0)),Lists!$B$5:$B$30,0))/INDEX(Lists!$C$5:$C$30,MATCH(MAX(2001,YEAR(C79)-IF(MONTH(C79)&lt;4,1,0)),Lists!$B$5:$B$30,0)),0),""))</f>
        <v/>
      </c>
      <c r="O79" s="20" t="str">
        <f aca="false">IF(N79="","",E79-F79-N79)</f>
        <v/>
      </c>
      <c r="P79" s="21" t="str">
        <f aca="false">IF(K79="","",IF(K79="Short",IF(B79=Lists!$E$5,"ST 20%","ST slab"),IF(B79=Lists!$E$5,"LT 112A",IF(N79="","LT 12.5%",IF(AND(M79&gt;0,O79*0.2&lt;M79*0.125),"LT 20% indexed","LT 12.5%")))))</f>
        <v/>
      </c>
      <c r="Q79" s="22" t="str">
        <f aca="false">IF(P79="","",IF(P79="LT 20% indexed",MAX(0,O79),M79))</f>
        <v/>
      </c>
    </row>
    <row r="80" customFormat="false" ht="15" hidden="false" customHeight="true" outlineLevel="0" collapsed="false">
      <c r="A80" s="23"/>
      <c r="B80" s="23"/>
      <c r="C80" s="24"/>
      <c r="D80" s="24"/>
      <c r="E80" s="25"/>
      <c r="F80" s="25"/>
      <c r="G80" s="25"/>
      <c r="H80" s="25"/>
      <c r="I80" s="25"/>
      <c r="J80" s="20" t="str">
        <f aca="false">IF(OR(B80="",C80="",D80=""),"",DATEDIF(C80,D80,"m"))</f>
        <v/>
      </c>
      <c r="K80" s="21" t="str">
        <f aca="false">IF(OR(B80="",C80="",D80=""),"",IF(B80=Lists!$E$10,"Short",IF(D80&gt;EDATE(C80,IF(OR(B80=Lists!$E$5,B80=Lists!$E$6),12,24)),"Long","Short")))</f>
        <v/>
      </c>
      <c r="L80" s="20" t="str">
        <f aca="false">IF(K80="","",IF(AND(B80=Lists!$E$5,K80="Long",C80&lt;DATE(2018,2,1),N(I80)&gt;0),MAX(G80,MIN(I80,E80)),IF(AND(C80&lt;DATE(2001,4,1),N(I80)&gt;0,B80&lt;&gt;Lists!$E$5),I80,G80)))</f>
        <v/>
      </c>
      <c r="M80" s="20" t="str">
        <f aca="false">IF(K80="","",E80-F80-L80-H80)</f>
        <v/>
      </c>
      <c r="N80" s="20" t="str">
        <f aca="false">IF(K80="","",IF(AND(K80="Long",B80=Lists!$E$7,C80&lt;DATE(2024,7,23)),ROUND((L80+H80)*INDEX(Lists!$C$5:$C$30,MATCH(MIN(MAX(Lists!$B$5:$B$30),YEAR(D80)-IF(MONTH(D80)&lt;4,1,0)),Lists!$B$5:$B$30,0))/INDEX(Lists!$C$5:$C$30,MATCH(MAX(2001,YEAR(C80)-IF(MONTH(C80)&lt;4,1,0)),Lists!$B$5:$B$30,0)),0),""))</f>
        <v/>
      </c>
      <c r="O80" s="20" t="str">
        <f aca="false">IF(N80="","",E80-F80-N80)</f>
        <v/>
      </c>
      <c r="P80" s="21" t="str">
        <f aca="false">IF(K80="","",IF(K80="Short",IF(B80=Lists!$E$5,"ST 20%","ST slab"),IF(B80=Lists!$E$5,"LT 112A",IF(N80="","LT 12.5%",IF(AND(M80&gt;0,O80*0.2&lt;M80*0.125),"LT 20% indexed","LT 12.5%")))))</f>
        <v/>
      </c>
      <c r="Q80" s="22" t="str">
        <f aca="false">IF(P80="","",IF(P80="LT 20% indexed",MAX(0,O80),M80))</f>
        <v/>
      </c>
    </row>
    <row r="81" customFormat="false" ht="15" hidden="false" customHeight="true" outlineLevel="0" collapsed="false">
      <c r="A81" s="23"/>
      <c r="B81" s="23"/>
      <c r="C81" s="24"/>
      <c r="D81" s="24"/>
      <c r="E81" s="25"/>
      <c r="F81" s="25"/>
      <c r="G81" s="25"/>
      <c r="H81" s="25"/>
      <c r="I81" s="25"/>
      <c r="J81" s="20" t="str">
        <f aca="false">IF(OR(B81="",C81="",D81=""),"",DATEDIF(C81,D81,"m"))</f>
        <v/>
      </c>
      <c r="K81" s="21" t="str">
        <f aca="false">IF(OR(B81="",C81="",D81=""),"",IF(B81=Lists!$E$10,"Short",IF(D81&gt;EDATE(C81,IF(OR(B81=Lists!$E$5,B81=Lists!$E$6),12,24)),"Long","Short")))</f>
        <v/>
      </c>
      <c r="L81" s="20" t="str">
        <f aca="false">IF(K81="","",IF(AND(B81=Lists!$E$5,K81="Long",C81&lt;DATE(2018,2,1),N(I81)&gt;0),MAX(G81,MIN(I81,E81)),IF(AND(C81&lt;DATE(2001,4,1),N(I81)&gt;0,B81&lt;&gt;Lists!$E$5),I81,G81)))</f>
        <v/>
      </c>
      <c r="M81" s="20" t="str">
        <f aca="false">IF(K81="","",E81-F81-L81-H81)</f>
        <v/>
      </c>
      <c r="N81" s="20" t="str">
        <f aca="false">IF(K81="","",IF(AND(K81="Long",B81=Lists!$E$7,C81&lt;DATE(2024,7,23)),ROUND((L81+H81)*INDEX(Lists!$C$5:$C$30,MATCH(MIN(MAX(Lists!$B$5:$B$30),YEAR(D81)-IF(MONTH(D81)&lt;4,1,0)),Lists!$B$5:$B$30,0))/INDEX(Lists!$C$5:$C$30,MATCH(MAX(2001,YEAR(C81)-IF(MONTH(C81)&lt;4,1,0)),Lists!$B$5:$B$30,0)),0),""))</f>
        <v/>
      </c>
      <c r="O81" s="20" t="str">
        <f aca="false">IF(N81="","",E81-F81-N81)</f>
        <v/>
      </c>
      <c r="P81" s="21" t="str">
        <f aca="false">IF(K81="","",IF(K81="Short",IF(B81=Lists!$E$5,"ST 20%","ST slab"),IF(B81=Lists!$E$5,"LT 112A",IF(N81="","LT 12.5%",IF(AND(M81&gt;0,O81*0.2&lt;M81*0.125),"LT 20% indexed","LT 12.5%")))))</f>
        <v/>
      </c>
      <c r="Q81" s="22" t="str">
        <f aca="false">IF(P81="","",IF(P81="LT 20% indexed",MAX(0,O81),M81))</f>
        <v/>
      </c>
    </row>
    <row r="82" customFormat="false" ht="15" hidden="false" customHeight="true" outlineLevel="0" collapsed="false">
      <c r="A82" s="23"/>
      <c r="B82" s="23"/>
      <c r="C82" s="24"/>
      <c r="D82" s="24"/>
      <c r="E82" s="25"/>
      <c r="F82" s="25"/>
      <c r="G82" s="25"/>
      <c r="H82" s="25"/>
      <c r="I82" s="25"/>
      <c r="J82" s="20" t="str">
        <f aca="false">IF(OR(B82="",C82="",D82=""),"",DATEDIF(C82,D82,"m"))</f>
        <v/>
      </c>
      <c r="K82" s="21" t="str">
        <f aca="false">IF(OR(B82="",C82="",D82=""),"",IF(B82=Lists!$E$10,"Short",IF(D82&gt;EDATE(C82,IF(OR(B82=Lists!$E$5,B82=Lists!$E$6),12,24)),"Long","Short")))</f>
        <v/>
      </c>
      <c r="L82" s="20" t="str">
        <f aca="false">IF(K82="","",IF(AND(B82=Lists!$E$5,K82="Long",C82&lt;DATE(2018,2,1),N(I82)&gt;0),MAX(G82,MIN(I82,E82)),IF(AND(C82&lt;DATE(2001,4,1),N(I82)&gt;0,B82&lt;&gt;Lists!$E$5),I82,G82)))</f>
        <v/>
      </c>
      <c r="M82" s="20" t="str">
        <f aca="false">IF(K82="","",E82-F82-L82-H82)</f>
        <v/>
      </c>
      <c r="N82" s="20" t="str">
        <f aca="false">IF(K82="","",IF(AND(K82="Long",B82=Lists!$E$7,C82&lt;DATE(2024,7,23)),ROUND((L82+H82)*INDEX(Lists!$C$5:$C$30,MATCH(MIN(MAX(Lists!$B$5:$B$30),YEAR(D82)-IF(MONTH(D82)&lt;4,1,0)),Lists!$B$5:$B$30,0))/INDEX(Lists!$C$5:$C$30,MATCH(MAX(2001,YEAR(C82)-IF(MONTH(C82)&lt;4,1,0)),Lists!$B$5:$B$30,0)),0),""))</f>
        <v/>
      </c>
      <c r="O82" s="20" t="str">
        <f aca="false">IF(N82="","",E82-F82-N82)</f>
        <v/>
      </c>
      <c r="P82" s="21" t="str">
        <f aca="false">IF(K82="","",IF(K82="Short",IF(B82=Lists!$E$5,"ST 20%","ST slab"),IF(B82=Lists!$E$5,"LT 112A",IF(N82="","LT 12.5%",IF(AND(M82&gt;0,O82*0.2&lt;M82*0.125),"LT 20% indexed","LT 12.5%")))))</f>
        <v/>
      </c>
      <c r="Q82" s="22" t="str">
        <f aca="false">IF(P82="","",IF(P82="LT 20% indexed",MAX(0,O82),M82))</f>
        <v/>
      </c>
    </row>
    <row r="83" customFormat="false" ht="15" hidden="false" customHeight="true" outlineLevel="0" collapsed="false">
      <c r="A83" s="23"/>
      <c r="B83" s="23"/>
      <c r="C83" s="24"/>
      <c r="D83" s="24"/>
      <c r="E83" s="25"/>
      <c r="F83" s="25"/>
      <c r="G83" s="25"/>
      <c r="H83" s="25"/>
      <c r="I83" s="25"/>
      <c r="J83" s="20" t="str">
        <f aca="false">IF(OR(B83="",C83="",D83=""),"",DATEDIF(C83,D83,"m"))</f>
        <v/>
      </c>
      <c r="K83" s="21" t="str">
        <f aca="false">IF(OR(B83="",C83="",D83=""),"",IF(B83=Lists!$E$10,"Short",IF(D83&gt;EDATE(C83,IF(OR(B83=Lists!$E$5,B83=Lists!$E$6),12,24)),"Long","Short")))</f>
        <v/>
      </c>
      <c r="L83" s="20" t="str">
        <f aca="false">IF(K83="","",IF(AND(B83=Lists!$E$5,K83="Long",C83&lt;DATE(2018,2,1),N(I83)&gt;0),MAX(G83,MIN(I83,E83)),IF(AND(C83&lt;DATE(2001,4,1),N(I83)&gt;0,B83&lt;&gt;Lists!$E$5),I83,G83)))</f>
        <v/>
      </c>
      <c r="M83" s="20" t="str">
        <f aca="false">IF(K83="","",E83-F83-L83-H83)</f>
        <v/>
      </c>
      <c r="N83" s="20" t="str">
        <f aca="false">IF(K83="","",IF(AND(K83="Long",B83=Lists!$E$7,C83&lt;DATE(2024,7,23)),ROUND((L83+H83)*INDEX(Lists!$C$5:$C$30,MATCH(MIN(MAX(Lists!$B$5:$B$30),YEAR(D83)-IF(MONTH(D83)&lt;4,1,0)),Lists!$B$5:$B$30,0))/INDEX(Lists!$C$5:$C$30,MATCH(MAX(2001,YEAR(C83)-IF(MONTH(C83)&lt;4,1,0)),Lists!$B$5:$B$30,0)),0),""))</f>
        <v/>
      </c>
      <c r="O83" s="20" t="str">
        <f aca="false">IF(N83="","",E83-F83-N83)</f>
        <v/>
      </c>
      <c r="P83" s="21" t="str">
        <f aca="false">IF(K83="","",IF(K83="Short",IF(B83=Lists!$E$5,"ST 20%","ST slab"),IF(B83=Lists!$E$5,"LT 112A",IF(N83="","LT 12.5%",IF(AND(M83&gt;0,O83*0.2&lt;M83*0.125),"LT 20% indexed","LT 12.5%")))))</f>
        <v/>
      </c>
      <c r="Q83" s="22" t="str">
        <f aca="false">IF(P83="","",IF(P83="LT 20% indexed",MAX(0,O83),M83))</f>
        <v/>
      </c>
    </row>
    <row r="84" customFormat="false" ht="15" hidden="false" customHeight="true" outlineLevel="0" collapsed="false">
      <c r="A84" s="23"/>
      <c r="B84" s="23"/>
      <c r="C84" s="24"/>
      <c r="D84" s="24"/>
      <c r="E84" s="25"/>
      <c r="F84" s="25"/>
      <c r="G84" s="25"/>
      <c r="H84" s="25"/>
      <c r="I84" s="25"/>
      <c r="J84" s="20" t="str">
        <f aca="false">IF(OR(B84="",C84="",D84=""),"",DATEDIF(C84,D84,"m"))</f>
        <v/>
      </c>
      <c r="K84" s="21" t="str">
        <f aca="false">IF(OR(B84="",C84="",D84=""),"",IF(B84=Lists!$E$10,"Short",IF(D84&gt;EDATE(C84,IF(OR(B84=Lists!$E$5,B84=Lists!$E$6),12,24)),"Long","Short")))</f>
        <v/>
      </c>
      <c r="L84" s="20" t="str">
        <f aca="false">IF(K84="","",IF(AND(B84=Lists!$E$5,K84="Long",C84&lt;DATE(2018,2,1),N(I84)&gt;0),MAX(G84,MIN(I84,E84)),IF(AND(C84&lt;DATE(2001,4,1),N(I84)&gt;0,B84&lt;&gt;Lists!$E$5),I84,G84)))</f>
        <v/>
      </c>
      <c r="M84" s="20" t="str">
        <f aca="false">IF(K84="","",E84-F84-L84-H84)</f>
        <v/>
      </c>
      <c r="N84" s="20" t="str">
        <f aca="false">IF(K84="","",IF(AND(K84="Long",B84=Lists!$E$7,C84&lt;DATE(2024,7,23)),ROUND((L84+H84)*INDEX(Lists!$C$5:$C$30,MATCH(MIN(MAX(Lists!$B$5:$B$30),YEAR(D84)-IF(MONTH(D84)&lt;4,1,0)),Lists!$B$5:$B$30,0))/INDEX(Lists!$C$5:$C$30,MATCH(MAX(2001,YEAR(C84)-IF(MONTH(C84)&lt;4,1,0)),Lists!$B$5:$B$30,0)),0),""))</f>
        <v/>
      </c>
      <c r="O84" s="20" t="str">
        <f aca="false">IF(N84="","",E84-F84-N84)</f>
        <v/>
      </c>
      <c r="P84" s="21" t="str">
        <f aca="false">IF(K84="","",IF(K84="Short",IF(B84=Lists!$E$5,"ST 20%","ST slab"),IF(B84=Lists!$E$5,"LT 112A",IF(N84="","LT 12.5%",IF(AND(M84&gt;0,O84*0.2&lt;M84*0.125),"LT 20% indexed","LT 12.5%")))))</f>
        <v/>
      </c>
      <c r="Q84" s="22" t="str">
        <f aca="false">IF(P84="","",IF(P84="LT 20% indexed",MAX(0,O84),M84))</f>
        <v/>
      </c>
    </row>
    <row r="85" customFormat="false" ht="15" hidden="false" customHeight="true" outlineLevel="0" collapsed="false">
      <c r="A85" s="23"/>
      <c r="B85" s="23"/>
      <c r="C85" s="24"/>
      <c r="D85" s="24"/>
      <c r="E85" s="25"/>
      <c r="F85" s="25"/>
      <c r="G85" s="25"/>
      <c r="H85" s="25"/>
      <c r="I85" s="25"/>
      <c r="J85" s="20" t="str">
        <f aca="false">IF(OR(B85="",C85="",D85=""),"",DATEDIF(C85,D85,"m"))</f>
        <v/>
      </c>
      <c r="K85" s="21" t="str">
        <f aca="false">IF(OR(B85="",C85="",D85=""),"",IF(B85=Lists!$E$10,"Short",IF(D85&gt;EDATE(C85,IF(OR(B85=Lists!$E$5,B85=Lists!$E$6),12,24)),"Long","Short")))</f>
        <v/>
      </c>
      <c r="L85" s="20" t="str">
        <f aca="false">IF(K85="","",IF(AND(B85=Lists!$E$5,K85="Long",C85&lt;DATE(2018,2,1),N(I85)&gt;0),MAX(G85,MIN(I85,E85)),IF(AND(C85&lt;DATE(2001,4,1),N(I85)&gt;0,B85&lt;&gt;Lists!$E$5),I85,G85)))</f>
        <v/>
      </c>
      <c r="M85" s="20" t="str">
        <f aca="false">IF(K85="","",E85-F85-L85-H85)</f>
        <v/>
      </c>
      <c r="N85" s="20" t="str">
        <f aca="false">IF(K85="","",IF(AND(K85="Long",B85=Lists!$E$7,C85&lt;DATE(2024,7,23)),ROUND((L85+H85)*INDEX(Lists!$C$5:$C$30,MATCH(MIN(MAX(Lists!$B$5:$B$30),YEAR(D85)-IF(MONTH(D85)&lt;4,1,0)),Lists!$B$5:$B$30,0))/INDEX(Lists!$C$5:$C$30,MATCH(MAX(2001,YEAR(C85)-IF(MONTH(C85)&lt;4,1,0)),Lists!$B$5:$B$30,0)),0),""))</f>
        <v/>
      </c>
      <c r="O85" s="20" t="str">
        <f aca="false">IF(N85="","",E85-F85-N85)</f>
        <v/>
      </c>
      <c r="P85" s="21" t="str">
        <f aca="false">IF(K85="","",IF(K85="Short",IF(B85=Lists!$E$5,"ST 20%","ST slab"),IF(B85=Lists!$E$5,"LT 112A",IF(N85="","LT 12.5%",IF(AND(M85&gt;0,O85*0.2&lt;M85*0.125),"LT 20% indexed","LT 12.5%")))))</f>
        <v/>
      </c>
      <c r="Q85" s="22" t="str">
        <f aca="false">IF(P85="","",IF(P85="LT 20% indexed",MAX(0,O85),M85))</f>
        <v/>
      </c>
    </row>
    <row r="86" customFormat="false" ht="15" hidden="false" customHeight="true" outlineLevel="0" collapsed="false">
      <c r="A86" s="23"/>
      <c r="B86" s="23"/>
      <c r="C86" s="24"/>
      <c r="D86" s="24"/>
      <c r="E86" s="25"/>
      <c r="F86" s="25"/>
      <c r="G86" s="25"/>
      <c r="H86" s="25"/>
      <c r="I86" s="25"/>
      <c r="J86" s="20" t="str">
        <f aca="false">IF(OR(B86="",C86="",D86=""),"",DATEDIF(C86,D86,"m"))</f>
        <v/>
      </c>
      <c r="K86" s="21" t="str">
        <f aca="false">IF(OR(B86="",C86="",D86=""),"",IF(B86=Lists!$E$10,"Short",IF(D86&gt;EDATE(C86,IF(OR(B86=Lists!$E$5,B86=Lists!$E$6),12,24)),"Long","Short")))</f>
        <v/>
      </c>
      <c r="L86" s="20" t="str">
        <f aca="false">IF(K86="","",IF(AND(B86=Lists!$E$5,K86="Long",C86&lt;DATE(2018,2,1),N(I86)&gt;0),MAX(G86,MIN(I86,E86)),IF(AND(C86&lt;DATE(2001,4,1),N(I86)&gt;0,B86&lt;&gt;Lists!$E$5),I86,G86)))</f>
        <v/>
      </c>
      <c r="M86" s="20" t="str">
        <f aca="false">IF(K86="","",E86-F86-L86-H86)</f>
        <v/>
      </c>
      <c r="N86" s="20" t="str">
        <f aca="false">IF(K86="","",IF(AND(K86="Long",B86=Lists!$E$7,C86&lt;DATE(2024,7,23)),ROUND((L86+H86)*INDEX(Lists!$C$5:$C$30,MATCH(MIN(MAX(Lists!$B$5:$B$30),YEAR(D86)-IF(MONTH(D86)&lt;4,1,0)),Lists!$B$5:$B$30,0))/INDEX(Lists!$C$5:$C$30,MATCH(MAX(2001,YEAR(C86)-IF(MONTH(C86)&lt;4,1,0)),Lists!$B$5:$B$30,0)),0),""))</f>
        <v/>
      </c>
      <c r="O86" s="20" t="str">
        <f aca="false">IF(N86="","",E86-F86-N86)</f>
        <v/>
      </c>
      <c r="P86" s="21" t="str">
        <f aca="false">IF(K86="","",IF(K86="Short",IF(B86=Lists!$E$5,"ST 20%","ST slab"),IF(B86=Lists!$E$5,"LT 112A",IF(N86="","LT 12.5%",IF(AND(M86&gt;0,O86*0.2&lt;M86*0.125),"LT 20% indexed","LT 12.5%")))))</f>
        <v/>
      </c>
      <c r="Q86" s="22" t="str">
        <f aca="false">IF(P86="","",IF(P86="LT 20% indexed",MAX(0,O86),M86))</f>
        <v/>
      </c>
    </row>
    <row r="87" customFormat="false" ht="15" hidden="false" customHeight="true" outlineLevel="0" collapsed="false">
      <c r="A87" s="23"/>
      <c r="B87" s="23"/>
      <c r="C87" s="24"/>
      <c r="D87" s="24"/>
      <c r="E87" s="25"/>
      <c r="F87" s="25"/>
      <c r="G87" s="25"/>
      <c r="H87" s="25"/>
      <c r="I87" s="25"/>
      <c r="J87" s="20" t="str">
        <f aca="false">IF(OR(B87="",C87="",D87=""),"",DATEDIF(C87,D87,"m"))</f>
        <v/>
      </c>
      <c r="K87" s="21" t="str">
        <f aca="false">IF(OR(B87="",C87="",D87=""),"",IF(B87=Lists!$E$10,"Short",IF(D87&gt;EDATE(C87,IF(OR(B87=Lists!$E$5,B87=Lists!$E$6),12,24)),"Long","Short")))</f>
        <v/>
      </c>
      <c r="L87" s="20" t="str">
        <f aca="false">IF(K87="","",IF(AND(B87=Lists!$E$5,K87="Long",C87&lt;DATE(2018,2,1),N(I87)&gt;0),MAX(G87,MIN(I87,E87)),IF(AND(C87&lt;DATE(2001,4,1),N(I87)&gt;0,B87&lt;&gt;Lists!$E$5),I87,G87)))</f>
        <v/>
      </c>
      <c r="M87" s="20" t="str">
        <f aca="false">IF(K87="","",E87-F87-L87-H87)</f>
        <v/>
      </c>
      <c r="N87" s="20" t="str">
        <f aca="false">IF(K87="","",IF(AND(K87="Long",B87=Lists!$E$7,C87&lt;DATE(2024,7,23)),ROUND((L87+H87)*INDEX(Lists!$C$5:$C$30,MATCH(MIN(MAX(Lists!$B$5:$B$30),YEAR(D87)-IF(MONTH(D87)&lt;4,1,0)),Lists!$B$5:$B$30,0))/INDEX(Lists!$C$5:$C$30,MATCH(MAX(2001,YEAR(C87)-IF(MONTH(C87)&lt;4,1,0)),Lists!$B$5:$B$30,0)),0),""))</f>
        <v/>
      </c>
      <c r="O87" s="20" t="str">
        <f aca="false">IF(N87="","",E87-F87-N87)</f>
        <v/>
      </c>
      <c r="P87" s="21" t="str">
        <f aca="false">IF(K87="","",IF(K87="Short",IF(B87=Lists!$E$5,"ST 20%","ST slab"),IF(B87=Lists!$E$5,"LT 112A",IF(N87="","LT 12.5%",IF(AND(M87&gt;0,O87*0.2&lt;M87*0.125),"LT 20% indexed","LT 12.5%")))))</f>
        <v/>
      </c>
      <c r="Q87" s="22" t="str">
        <f aca="false">IF(P87="","",IF(P87="LT 20% indexed",MAX(0,O87),M87))</f>
        <v/>
      </c>
    </row>
    <row r="88" customFormat="false" ht="15" hidden="false" customHeight="true" outlineLevel="0" collapsed="false">
      <c r="A88" s="23"/>
      <c r="B88" s="23"/>
      <c r="C88" s="24"/>
      <c r="D88" s="24"/>
      <c r="E88" s="25"/>
      <c r="F88" s="25"/>
      <c r="G88" s="25"/>
      <c r="H88" s="25"/>
      <c r="I88" s="25"/>
      <c r="J88" s="20" t="str">
        <f aca="false">IF(OR(B88="",C88="",D88=""),"",DATEDIF(C88,D88,"m"))</f>
        <v/>
      </c>
      <c r="K88" s="21" t="str">
        <f aca="false">IF(OR(B88="",C88="",D88=""),"",IF(B88=Lists!$E$10,"Short",IF(D88&gt;EDATE(C88,IF(OR(B88=Lists!$E$5,B88=Lists!$E$6),12,24)),"Long","Short")))</f>
        <v/>
      </c>
      <c r="L88" s="20" t="str">
        <f aca="false">IF(K88="","",IF(AND(B88=Lists!$E$5,K88="Long",C88&lt;DATE(2018,2,1),N(I88)&gt;0),MAX(G88,MIN(I88,E88)),IF(AND(C88&lt;DATE(2001,4,1),N(I88)&gt;0,B88&lt;&gt;Lists!$E$5),I88,G88)))</f>
        <v/>
      </c>
      <c r="M88" s="20" t="str">
        <f aca="false">IF(K88="","",E88-F88-L88-H88)</f>
        <v/>
      </c>
      <c r="N88" s="20" t="str">
        <f aca="false">IF(K88="","",IF(AND(K88="Long",B88=Lists!$E$7,C88&lt;DATE(2024,7,23)),ROUND((L88+H88)*INDEX(Lists!$C$5:$C$30,MATCH(MIN(MAX(Lists!$B$5:$B$30),YEAR(D88)-IF(MONTH(D88)&lt;4,1,0)),Lists!$B$5:$B$30,0))/INDEX(Lists!$C$5:$C$30,MATCH(MAX(2001,YEAR(C88)-IF(MONTH(C88)&lt;4,1,0)),Lists!$B$5:$B$30,0)),0),""))</f>
        <v/>
      </c>
      <c r="O88" s="20" t="str">
        <f aca="false">IF(N88="","",E88-F88-N88)</f>
        <v/>
      </c>
      <c r="P88" s="21" t="str">
        <f aca="false">IF(K88="","",IF(K88="Short",IF(B88=Lists!$E$5,"ST 20%","ST slab"),IF(B88=Lists!$E$5,"LT 112A",IF(N88="","LT 12.5%",IF(AND(M88&gt;0,O88*0.2&lt;M88*0.125),"LT 20% indexed","LT 12.5%")))))</f>
        <v/>
      </c>
      <c r="Q88" s="22" t="str">
        <f aca="false">IF(P88="","",IF(P88="LT 20% indexed",MAX(0,O88),M88))</f>
        <v/>
      </c>
    </row>
    <row r="89" customFormat="false" ht="15" hidden="false" customHeight="true" outlineLevel="0" collapsed="false">
      <c r="A89" s="23"/>
      <c r="B89" s="23"/>
      <c r="C89" s="24"/>
      <c r="D89" s="24"/>
      <c r="E89" s="25"/>
      <c r="F89" s="25"/>
      <c r="G89" s="25"/>
      <c r="H89" s="25"/>
      <c r="I89" s="25"/>
      <c r="J89" s="20" t="str">
        <f aca="false">IF(OR(B89="",C89="",D89=""),"",DATEDIF(C89,D89,"m"))</f>
        <v/>
      </c>
      <c r="K89" s="21" t="str">
        <f aca="false">IF(OR(B89="",C89="",D89=""),"",IF(B89=Lists!$E$10,"Short",IF(D89&gt;EDATE(C89,IF(OR(B89=Lists!$E$5,B89=Lists!$E$6),12,24)),"Long","Short")))</f>
        <v/>
      </c>
      <c r="L89" s="20" t="str">
        <f aca="false">IF(K89="","",IF(AND(B89=Lists!$E$5,K89="Long",C89&lt;DATE(2018,2,1),N(I89)&gt;0),MAX(G89,MIN(I89,E89)),IF(AND(C89&lt;DATE(2001,4,1),N(I89)&gt;0,B89&lt;&gt;Lists!$E$5),I89,G89)))</f>
        <v/>
      </c>
      <c r="M89" s="20" t="str">
        <f aca="false">IF(K89="","",E89-F89-L89-H89)</f>
        <v/>
      </c>
      <c r="N89" s="20" t="str">
        <f aca="false">IF(K89="","",IF(AND(K89="Long",B89=Lists!$E$7,C89&lt;DATE(2024,7,23)),ROUND((L89+H89)*INDEX(Lists!$C$5:$C$30,MATCH(MIN(MAX(Lists!$B$5:$B$30),YEAR(D89)-IF(MONTH(D89)&lt;4,1,0)),Lists!$B$5:$B$30,0))/INDEX(Lists!$C$5:$C$30,MATCH(MAX(2001,YEAR(C89)-IF(MONTH(C89)&lt;4,1,0)),Lists!$B$5:$B$30,0)),0),""))</f>
        <v/>
      </c>
      <c r="O89" s="20" t="str">
        <f aca="false">IF(N89="","",E89-F89-N89)</f>
        <v/>
      </c>
      <c r="P89" s="21" t="str">
        <f aca="false">IF(K89="","",IF(K89="Short",IF(B89=Lists!$E$5,"ST 20%","ST slab"),IF(B89=Lists!$E$5,"LT 112A",IF(N89="","LT 12.5%",IF(AND(M89&gt;0,O89*0.2&lt;M89*0.125),"LT 20% indexed","LT 12.5%")))))</f>
        <v/>
      </c>
      <c r="Q89" s="22" t="str">
        <f aca="false">IF(P89="","",IF(P89="LT 20% indexed",MAX(0,O89),M89))</f>
        <v/>
      </c>
    </row>
    <row r="90" customFormat="false" ht="15" hidden="false" customHeight="true" outlineLevel="0" collapsed="false">
      <c r="A90" s="23"/>
      <c r="B90" s="23"/>
      <c r="C90" s="24"/>
      <c r="D90" s="24"/>
      <c r="E90" s="25"/>
      <c r="F90" s="25"/>
      <c r="G90" s="25"/>
      <c r="H90" s="25"/>
      <c r="I90" s="25"/>
      <c r="J90" s="20" t="str">
        <f aca="false">IF(OR(B90="",C90="",D90=""),"",DATEDIF(C90,D90,"m"))</f>
        <v/>
      </c>
      <c r="K90" s="21" t="str">
        <f aca="false">IF(OR(B90="",C90="",D90=""),"",IF(B90=Lists!$E$10,"Short",IF(D90&gt;EDATE(C90,IF(OR(B90=Lists!$E$5,B90=Lists!$E$6),12,24)),"Long","Short")))</f>
        <v/>
      </c>
      <c r="L90" s="20" t="str">
        <f aca="false">IF(K90="","",IF(AND(B90=Lists!$E$5,K90="Long",C90&lt;DATE(2018,2,1),N(I90)&gt;0),MAX(G90,MIN(I90,E90)),IF(AND(C90&lt;DATE(2001,4,1),N(I90)&gt;0,B90&lt;&gt;Lists!$E$5),I90,G90)))</f>
        <v/>
      </c>
      <c r="M90" s="20" t="str">
        <f aca="false">IF(K90="","",E90-F90-L90-H90)</f>
        <v/>
      </c>
      <c r="N90" s="20" t="str">
        <f aca="false">IF(K90="","",IF(AND(K90="Long",B90=Lists!$E$7,C90&lt;DATE(2024,7,23)),ROUND((L90+H90)*INDEX(Lists!$C$5:$C$30,MATCH(MIN(MAX(Lists!$B$5:$B$30),YEAR(D90)-IF(MONTH(D90)&lt;4,1,0)),Lists!$B$5:$B$30,0))/INDEX(Lists!$C$5:$C$30,MATCH(MAX(2001,YEAR(C90)-IF(MONTH(C90)&lt;4,1,0)),Lists!$B$5:$B$30,0)),0),""))</f>
        <v/>
      </c>
      <c r="O90" s="20" t="str">
        <f aca="false">IF(N90="","",E90-F90-N90)</f>
        <v/>
      </c>
      <c r="P90" s="21" t="str">
        <f aca="false">IF(K90="","",IF(K90="Short",IF(B90=Lists!$E$5,"ST 20%","ST slab"),IF(B90=Lists!$E$5,"LT 112A",IF(N90="","LT 12.5%",IF(AND(M90&gt;0,O90*0.2&lt;M90*0.125),"LT 20% indexed","LT 12.5%")))))</f>
        <v/>
      </c>
      <c r="Q90" s="22" t="str">
        <f aca="false">IF(P90="","",IF(P90="LT 20% indexed",MAX(0,O90),M90))</f>
        <v/>
      </c>
    </row>
    <row r="91" customFormat="false" ht="15" hidden="false" customHeight="true" outlineLevel="0" collapsed="false">
      <c r="A91" s="23"/>
      <c r="B91" s="23"/>
      <c r="C91" s="24"/>
      <c r="D91" s="24"/>
      <c r="E91" s="25"/>
      <c r="F91" s="25"/>
      <c r="G91" s="25"/>
      <c r="H91" s="25"/>
      <c r="I91" s="25"/>
      <c r="J91" s="20" t="str">
        <f aca="false">IF(OR(B91="",C91="",D91=""),"",DATEDIF(C91,D91,"m"))</f>
        <v/>
      </c>
      <c r="K91" s="21" t="str">
        <f aca="false">IF(OR(B91="",C91="",D91=""),"",IF(B91=Lists!$E$10,"Short",IF(D91&gt;EDATE(C91,IF(OR(B91=Lists!$E$5,B91=Lists!$E$6),12,24)),"Long","Short")))</f>
        <v/>
      </c>
      <c r="L91" s="20" t="str">
        <f aca="false">IF(K91="","",IF(AND(B91=Lists!$E$5,K91="Long",C91&lt;DATE(2018,2,1),N(I91)&gt;0),MAX(G91,MIN(I91,E91)),IF(AND(C91&lt;DATE(2001,4,1),N(I91)&gt;0,B91&lt;&gt;Lists!$E$5),I91,G91)))</f>
        <v/>
      </c>
      <c r="M91" s="20" t="str">
        <f aca="false">IF(K91="","",E91-F91-L91-H91)</f>
        <v/>
      </c>
      <c r="N91" s="20" t="str">
        <f aca="false">IF(K91="","",IF(AND(K91="Long",B91=Lists!$E$7,C91&lt;DATE(2024,7,23)),ROUND((L91+H91)*INDEX(Lists!$C$5:$C$30,MATCH(MIN(MAX(Lists!$B$5:$B$30),YEAR(D91)-IF(MONTH(D91)&lt;4,1,0)),Lists!$B$5:$B$30,0))/INDEX(Lists!$C$5:$C$30,MATCH(MAX(2001,YEAR(C91)-IF(MONTH(C91)&lt;4,1,0)),Lists!$B$5:$B$30,0)),0),""))</f>
        <v/>
      </c>
      <c r="O91" s="20" t="str">
        <f aca="false">IF(N91="","",E91-F91-N91)</f>
        <v/>
      </c>
      <c r="P91" s="21" t="str">
        <f aca="false">IF(K91="","",IF(K91="Short",IF(B91=Lists!$E$5,"ST 20%","ST slab"),IF(B91=Lists!$E$5,"LT 112A",IF(N91="","LT 12.5%",IF(AND(M91&gt;0,O91*0.2&lt;M91*0.125),"LT 20% indexed","LT 12.5%")))))</f>
        <v/>
      </c>
      <c r="Q91" s="22" t="str">
        <f aca="false">IF(P91="","",IF(P91="LT 20% indexed",MAX(0,O91),M91))</f>
        <v/>
      </c>
    </row>
    <row r="92" customFormat="false" ht="15" hidden="false" customHeight="true" outlineLevel="0" collapsed="false">
      <c r="A92" s="23"/>
      <c r="B92" s="23"/>
      <c r="C92" s="24"/>
      <c r="D92" s="24"/>
      <c r="E92" s="25"/>
      <c r="F92" s="25"/>
      <c r="G92" s="25"/>
      <c r="H92" s="25"/>
      <c r="I92" s="25"/>
      <c r="J92" s="20" t="str">
        <f aca="false">IF(OR(B92="",C92="",D92=""),"",DATEDIF(C92,D92,"m"))</f>
        <v/>
      </c>
      <c r="K92" s="21" t="str">
        <f aca="false">IF(OR(B92="",C92="",D92=""),"",IF(B92=Lists!$E$10,"Short",IF(D92&gt;EDATE(C92,IF(OR(B92=Lists!$E$5,B92=Lists!$E$6),12,24)),"Long","Short")))</f>
        <v/>
      </c>
      <c r="L92" s="20" t="str">
        <f aca="false">IF(K92="","",IF(AND(B92=Lists!$E$5,K92="Long",C92&lt;DATE(2018,2,1),N(I92)&gt;0),MAX(G92,MIN(I92,E92)),IF(AND(C92&lt;DATE(2001,4,1),N(I92)&gt;0,B92&lt;&gt;Lists!$E$5),I92,G92)))</f>
        <v/>
      </c>
      <c r="M92" s="20" t="str">
        <f aca="false">IF(K92="","",E92-F92-L92-H92)</f>
        <v/>
      </c>
      <c r="N92" s="20" t="str">
        <f aca="false">IF(K92="","",IF(AND(K92="Long",B92=Lists!$E$7,C92&lt;DATE(2024,7,23)),ROUND((L92+H92)*INDEX(Lists!$C$5:$C$30,MATCH(MIN(MAX(Lists!$B$5:$B$30),YEAR(D92)-IF(MONTH(D92)&lt;4,1,0)),Lists!$B$5:$B$30,0))/INDEX(Lists!$C$5:$C$30,MATCH(MAX(2001,YEAR(C92)-IF(MONTH(C92)&lt;4,1,0)),Lists!$B$5:$B$30,0)),0),""))</f>
        <v/>
      </c>
      <c r="O92" s="20" t="str">
        <f aca="false">IF(N92="","",E92-F92-N92)</f>
        <v/>
      </c>
      <c r="P92" s="21" t="str">
        <f aca="false">IF(K92="","",IF(K92="Short",IF(B92=Lists!$E$5,"ST 20%","ST slab"),IF(B92=Lists!$E$5,"LT 112A",IF(N92="","LT 12.5%",IF(AND(M92&gt;0,O92*0.2&lt;M92*0.125),"LT 20% indexed","LT 12.5%")))))</f>
        <v/>
      </c>
      <c r="Q92" s="22" t="str">
        <f aca="false">IF(P92="","",IF(P92="LT 20% indexed",MAX(0,O92),M92))</f>
        <v/>
      </c>
    </row>
    <row r="93" customFormat="false" ht="15" hidden="false" customHeight="true" outlineLevel="0" collapsed="false">
      <c r="A93" s="23"/>
      <c r="B93" s="23"/>
      <c r="C93" s="24"/>
      <c r="D93" s="24"/>
      <c r="E93" s="25"/>
      <c r="F93" s="25"/>
      <c r="G93" s="25"/>
      <c r="H93" s="25"/>
      <c r="I93" s="25"/>
      <c r="J93" s="20" t="str">
        <f aca="false">IF(OR(B93="",C93="",D93=""),"",DATEDIF(C93,D93,"m"))</f>
        <v/>
      </c>
      <c r="K93" s="21" t="str">
        <f aca="false">IF(OR(B93="",C93="",D93=""),"",IF(B93=Lists!$E$10,"Short",IF(D93&gt;EDATE(C93,IF(OR(B93=Lists!$E$5,B93=Lists!$E$6),12,24)),"Long","Short")))</f>
        <v/>
      </c>
      <c r="L93" s="20" t="str">
        <f aca="false">IF(K93="","",IF(AND(B93=Lists!$E$5,K93="Long",C93&lt;DATE(2018,2,1),N(I93)&gt;0),MAX(G93,MIN(I93,E93)),IF(AND(C93&lt;DATE(2001,4,1),N(I93)&gt;0,B93&lt;&gt;Lists!$E$5),I93,G93)))</f>
        <v/>
      </c>
      <c r="M93" s="20" t="str">
        <f aca="false">IF(K93="","",E93-F93-L93-H93)</f>
        <v/>
      </c>
      <c r="N93" s="20" t="str">
        <f aca="false">IF(K93="","",IF(AND(K93="Long",B93=Lists!$E$7,C93&lt;DATE(2024,7,23)),ROUND((L93+H93)*INDEX(Lists!$C$5:$C$30,MATCH(MIN(MAX(Lists!$B$5:$B$30),YEAR(D93)-IF(MONTH(D93)&lt;4,1,0)),Lists!$B$5:$B$30,0))/INDEX(Lists!$C$5:$C$30,MATCH(MAX(2001,YEAR(C93)-IF(MONTH(C93)&lt;4,1,0)),Lists!$B$5:$B$30,0)),0),""))</f>
        <v/>
      </c>
      <c r="O93" s="20" t="str">
        <f aca="false">IF(N93="","",E93-F93-N93)</f>
        <v/>
      </c>
      <c r="P93" s="21" t="str">
        <f aca="false">IF(K93="","",IF(K93="Short",IF(B93=Lists!$E$5,"ST 20%","ST slab"),IF(B93=Lists!$E$5,"LT 112A",IF(N93="","LT 12.5%",IF(AND(M93&gt;0,O93*0.2&lt;M93*0.125),"LT 20% indexed","LT 12.5%")))))</f>
        <v/>
      </c>
      <c r="Q93" s="22" t="str">
        <f aca="false">IF(P93="","",IF(P93="LT 20% indexed",MAX(0,O93),M93))</f>
        <v/>
      </c>
    </row>
    <row r="94" customFormat="false" ht="15" hidden="false" customHeight="true" outlineLevel="0" collapsed="false">
      <c r="A94" s="23"/>
      <c r="B94" s="23"/>
      <c r="C94" s="24"/>
      <c r="D94" s="24"/>
      <c r="E94" s="25"/>
      <c r="F94" s="25"/>
      <c r="G94" s="25"/>
      <c r="H94" s="25"/>
      <c r="I94" s="25"/>
      <c r="J94" s="20" t="str">
        <f aca="false">IF(OR(B94="",C94="",D94=""),"",DATEDIF(C94,D94,"m"))</f>
        <v/>
      </c>
      <c r="K94" s="21" t="str">
        <f aca="false">IF(OR(B94="",C94="",D94=""),"",IF(B94=Lists!$E$10,"Short",IF(D94&gt;EDATE(C94,IF(OR(B94=Lists!$E$5,B94=Lists!$E$6),12,24)),"Long","Short")))</f>
        <v/>
      </c>
      <c r="L94" s="20" t="str">
        <f aca="false">IF(K94="","",IF(AND(B94=Lists!$E$5,K94="Long",C94&lt;DATE(2018,2,1),N(I94)&gt;0),MAX(G94,MIN(I94,E94)),IF(AND(C94&lt;DATE(2001,4,1),N(I94)&gt;0,B94&lt;&gt;Lists!$E$5),I94,G94)))</f>
        <v/>
      </c>
      <c r="M94" s="20" t="str">
        <f aca="false">IF(K94="","",E94-F94-L94-H94)</f>
        <v/>
      </c>
      <c r="N94" s="20" t="str">
        <f aca="false">IF(K94="","",IF(AND(K94="Long",B94=Lists!$E$7,C94&lt;DATE(2024,7,23)),ROUND((L94+H94)*INDEX(Lists!$C$5:$C$30,MATCH(MIN(MAX(Lists!$B$5:$B$30),YEAR(D94)-IF(MONTH(D94)&lt;4,1,0)),Lists!$B$5:$B$30,0))/INDEX(Lists!$C$5:$C$30,MATCH(MAX(2001,YEAR(C94)-IF(MONTH(C94)&lt;4,1,0)),Lists!$B$5:$B$30,0)),0),""))</f>
        <v/>
      </c>
      <c r="O94" s="20" t="str">
        <f aca="false">IF(N94="","",E94-F94-N94)</f>
        <v/>
      </c>
      <c r="P94" s="21" t="str">
        <f aca="false">IF(K94="","",IF(K94="Short",IF(B94=Lists!$E$5,"ST 20%","ST slab"),IF(B94=Lists!$E$5,"LT 112A",IF(N94="","LT 12.5%",IF(AND(M94&gt;0,O94*0.2&lt;M94*0.125),"LT 20% indexed","LT 12.5%")))))</f>
        <v/>
      </c>
      <c r="Q94" s="22" t="str">
        <f aca="false">IF(P94="","",IF(P94="LT 20% indexed",MAX(0,O94),M94))</f>
        <v/>
      </c>
    </row>
    <row r="95" customFormat="false" ht="15" hidden="false" customHeight="true" outlineLevel="0" collapsed="false">
      <c r="A95" s="23"/>
      <c r="B95" s="23"/>
      <c r="C95" s="24"/>
      <c r="D95" s="24"/>
      <c r="E95" s="25"/>
      <c r="F95" s="25"/>
      <c r="G95" s="25"/>
      <c r="H95" s="25"/>
      <c r="I95" s="25"/>
      <c r="J95" s="20" t="str">
        <f aca="false">IF(OR(B95="",C95="",D95=""),"",DATEDIF(C95,D95,"m"))</f>
        <v/>
      </c>
      <c r="K95" s="21" t="str">
        <f aca="false">IF(OR(B95="",C95="",D95=""),"",IF(B95=Lists!$E$10,"Short",IF(D95&gt;EDATE(C95,IF(OR(B95=Lists!$E$5,B95=Lists!$E$6),12,24)),"Long","Short")))</f>
        <v/>
      </c>
      <c r="L95" s="20" t="str">
        <f aca="false">IF(K95="","",IF(AND(B95=Lists!$E$5,K95="Long",C95&lt;DATE(2018,2,1),N(I95)&gt;0),MAX(G95,MIN(I95,E95)),IF(AND(C95&lt;DATE(2001,4,1),N(I95)&gt;0,B95&lt;&gt;Lists!$E$5),I95,G95)))</f>
        <v/>
      </c>
      <c r="M95" s="20" t="str">
        <f aca="false">IF(K95="","",E95-F95-L95-H95)</f>
        <v/>
      </c>
      <c r="N95" s="20" t="str">
        <f aca="false">IF(K95="","",IF(AND(K95="Long",B95=Lists!$E$7,C95&lt;DATE(2024,7,23)),ROUND((L95+H95)*INDEX(Lists!$C$5:$C$30,MATCH(MIN(MAX(Lists!$B$5:$B$30),YEAR(D95)-IF(MONTH(D95)&lt;4,1,0)),Lists!$B$5:$B$30,0))/INDEX(Lists!$C$5:$C$30,MATCH(MAX(2001,YEAR(C95)-IF(MONTH(C95)&lt;4,1,0)),Lists!$B$5:$B$30,0)),0),""))</f>
        <v/>
      </c>
      <c r="O95" s="20" t="str">
        <f aca="false">IF(N95="","",E95-F95-N95)</f>
        <v/>
      </c>
      <c r="P95" s="21" t="str">
        <f aca="false">IF(K95="","",IF(K95="Short",IF(B95=Lists!$E$5,"ST 20%","ST slab"),IF(B95=Lists!$E$5,"LT 112A",IF(N95="","LT 12.5%",IF(AND(M95&gt;0,O95*0.2&lt;M95*0.125),"LT 20% indexed","LT 12.5%")))))</f>
        <v/>
      </c>
      <c r="Q95" s="22" t="str">
        <f aca="false">IF(P95="","",IF(P95="LT 20% indexed",MAX(0,O95),M95))</f>
        <v/>
      </c>
    </row>
    <row r="96" customFormat="false" ht="15" hidden="false" customHeight="true" outlineLevel="0" collapsed="false">
      <c r="A96" s="23"/>
      <c r="B96" s="23"/>
      <c r="C96" s="24"/>
      <c r="D96" s="24"/>
      <c r="E96" s="25"/>
      <c r="F96" s="25"/>
      <c r="G96" s="25"/>
      <c r="H96" s="25"/>
      <c r="I96" s="25"/>
      <c r="J96" s="20" t="str">
        <f aca="false">IF(OR(B96="",C96="",D96=""),"",DATEDIF(C96,D96,"m"))</f>
        <v/>
      </c>
      <c r="K96" s="21" t="str">
        <f aca="false">IF(OR(B96="",C96="",D96=""),"",IF(B96=Lists!$E$10,"Short",IF(D96&gt;EDATE(C96,IF(OR(B96=Lists!$E$5,B96=Lists!$E$6),12,24)),"Long","Short")))</f>
        <v/>
      </c>
      <c r="L96" s="20" t="str">
        <f aca="false">IF(K96="","",IF(AND(B96=Lists!$E$5,K96="Long",C96&lt;DATE(2018,2,1),N(I96)&gt;0),MAX(G96,MIN(I96,E96)),IF(AND(C96&lt;DATE(2001,4,1),N(I96)&gt;0,B96&lt;&gt;Lists!$E$5),I96,G96)))</f>
        <v/>
      </c>
      <c r="M96" s="20" t="str">
        <f aca="false">IF(K96="","",E96-F96-L96-H96)</f>
        <v/>
      </c>
      <c r="N96" s="20" t="str">
        <f aca="false">IF(K96="","",IF(AND(K96="Long",B96=Lists!$E$7,C96&lt;DATE(2024,7,23)),ROUND((L96+H96)*INDEX(Lists!$C$5:$C$30,MATCH(MIN(MAX(Lists!$B$5:$B$30),YEAR(D96)-IF(MONTH(D96)&lt;4,1,0)),Lists!$B$5:$B$30,0))/INDEX(Lists!$C$5:$C$30,MATCH(MAX(2001,YEAR(C96)-IF(MONTH(C96)&lt;4,1,0)),Lists!$B$5:$B$30,0)),0),""))</f>
        <v/>
      </c>
      <c r="O96" s="20" t="str">
        <f aca="false">IF(N96="","",E96-F96-N96)</f>
        <v/>
      </c>
      <c r="P96" s="21" t="str">
        <f aca="false">IF(K96="","",IF(K96="Short",IF(B96=Lists!$E$5,"ST 20%","ST slab"),IF(B96=Lists!$E$5,"LT 112A",IF(N96="","LT 12.5%",IF(AND(M96&gt;0,O96*0.2&lt;M96*0.125),"LT 20% indexed","LT 12.5%")))))</f>
        <v/>
      </c>
      <c r="Q96" s="22" t="str">
        <f aca="false">IF(P96="","",IF(P96="LT 20% indexed",MAX(0,O96),M96))</f>
        <v/>
      </c>
    </row>
    <row r="97" customFormat="false" ht="15" hidden="false" customHeight="true" outlineLevel="0" collapsed="false">
      <c r="A97" s="23"/>
      <c r="B97" s="23"/>
      <c r="C97" s="24"/>
      <c r="D97" s="24"/>
      <c r="E97" s="25"/>
      <c r="F97" s="25"/>
      <c r="G97" s="25"/>
      <c r="H97" s="25"/>
      <c r="I97" s="25"/>
      <c r="J97" s="20" t="str">
        <f aca="false">IF(OR(B97="",C97="",D97=""),"",DATEDIF(C97,D97,"m"))</f>
        <v/>
      </c>
      <c r="K97" s="21" t="str">
        <f aca="false">IF(OR(B97="",C97="",D97=""),"",IF(B97=Lists!$E$10,"Short",IF(D97&gt;EDATE(C97,IF(OR(B97=Lists!$E$5,B97=Lists!$E$6),12,24)),"Long","Short")))</f>
        <v/>
      </c>
      <c r="L97" s="20" t="str">
        <f aca="false">IF(K97="","",IF(AND(B97=Lists!$E$5,K97="Long",C97&lt;DATE(2018,2,1),N(I97)&gt;0),MAX(G97,MIN(I97,E97)),IF(AND(C97&lt;DATE(2001,4,1),N(I97)&gt;0,B97&lt;&gt;Lists!$E$5),I97,G97)))</f>
        <v/>
      </c>
      <c r="M97" s="20" t="str">
        <f aca="false">IF(K97="","",E97-F97-L97-H97)</f>
        <v/>
      </c>
      <c r="N97" s="20" t="str">
        <f aca="false">IF(K97="","",IF(AND(K97="Long",B97=Lists!$E$7,C97&lt;DATE(2024,7,23)),ROUND((L97+H97)*INDEX(Lists!$C$5:$C$30,MATCH(MIN(MAX(Lists!$B$5:$B$30),YEAR(D97)-IF(MONTH(D97)&lt;4,1,0)),Lists!$B$5:$B$30,0))/INDEX(Lists!$C$5:$C$30,MATCH(MAX(2001,YEAR(C97)-IF(MONTH(C97)&lt;4,1,0)),Lists!$B$5:$B$30,0)),0),""))</f>
        <v/>
      </c>
      <c r="O97" s="20" t="str">
        <f aca="false">IF(N97="","",E97-F97-N97)</f>
        <v/>
      </c>
      <c r="P97" s="21" t="str">
        <f aca="false">IF(K97="","",IF(K97="Short",IF(B97=Lists!$E$5,"ST 20%","ST slab"),IF(B97=Lists!$E$5,"LT 112A",IF(N97="","LT 12.5%",IF(AND(M97&gt;0,O97*0.2&lt;M97*0.125),"LT 20% indexed","LT 12.5%")))))</f>
        <v/>
      </c>
      <c r="Q97" s="22" t="str">
        <f aca="false">IF(P97="","",IF(P97="LT 20% indexed",MAX(0,O97),M97))</f>
        <v/>
      </c>
    </row>
    <row r="98" customFormat="false" ht="15" hidden="false" customHeight="true" outlineLevel="0" collapsed="false">
      <c r="A98" s="23"/>
      <c r="B98" s="23"/>
      <c r="C98" s="24"/>
      <c r="D98" s="24"/>
      <c r="E98" s="25"/>
      <c r="F98" s="25"/>
      <c r="G98" s="25"/>
      <c r="H98" s="25"/>
      <c r="I98" s="25"/>
      <c r="J98" s="20" t="str">
        <f aca="false">IF(OR(B98="",C98="",D98=""),"",DATEDIF(C98,D98,"m"))</f>
        <v/>
      </c>
      <c r="K98" s="21" t="str">
        <f aca="false">IF(OR(B98="",C98="",D98=""),"",IF(B98=Lists!$E$10,"Short",IF(D98&gt;EDATE(C98,IF(OR(B98=Lists!$E$5,B98=Lists!$E$6),12,24)),"Long","Short")))</f>
        <v/>
      </c>
      <c r="L98" s="20" t="str">
        <f aca="false">IF(K98="","",IF(AND(B98=Lists!$E$5,K98="Long",C98&lt;DATE(2018,2,1),N(I98)&gt;0),MAX(G98,MIN(I98,E98)),IF(AND(C98&lt;DATE(2001,4,1),N(I98)&gt;0,B98&lt;&gt;Lists!$E$5),I98,G98)))</f>
        <v/>
      </c>
      <c r="M98" s="20" t="str">
        <f aca="false">IF(K98="","",E98-F98-L98-H98)</f>
        <v/>
      </c>
      <c r="N98" s="20" t="str">
        <f aca="false">IF(K98="","",IF(AND(K98="Long",B98=Lists!$E$7,C98&lt;DATE(2024,7,23)),ROUND((L98+H98)*INDEX(Lists!$C$5:$C$30,MATCH(MIN(MAX(Lists!$B$5:$B$30),YEAR(D98)-IF(MONTH(D98)&lt;4,1,0)),Lists!$B$5:$B$30,0))/INDEX(Lists!$C$5:$C$30,MATCH(MAX(2001,YEAR(C98)-IF(MONTH(C98)&lt;4,1,0)),Lists!$B$5:$B$30,0)),0),""))</f>
        <v/>
      </c>
      <c r="O98" s="20" t="str">
        <f aca="false">IF(N98="","",E98-F98-N98)</f>
        <v/>
      </c>
      <c r="P98" s="21" t="str">
        <f aca="false">IF(K98="","",IF(K98="Short",IF(B98=Lists!$E$5,"ST 20%","ST slab"),IF(B98=Lists!$E$5,"LT 112A",IF(N98="","LT 12.5%",IF(AND(M98&gt;0,O98*0.2&lt;M98*0.125),"LT 20% indexed","LT 12.5%")))))</f>
        <v/>
      </c>
      <c r="Q98" s="22" t="str">
        <f aca="false">IF(P98="","",IF(P98="LT 20% indexed",MAX(0,O98),M98))</f>
        <v/>
      </c>
    </row>
    <row r="99" customFormat="false" ht="15" hidden="false" customHeight="true" outlineLevel="0" collapsed="false">
      <c r="A99" s="23"/>
      <c r="B99" s="23"/>
      <c r="C99" s="24"/>
      <c r="D99" s="24"/>
      <c r="E99" s="25"/>
      <c r="F99" s="25"/>
      <c r="G99" s="25"/>
      <c r="H99" s="25"/>
      <c r="I99" s="25"/>
      <c r="J99" s="20" t="str">
        <f aca="false">IF(OR(B99="",C99="",D99=""),"",DATEDIF(C99,D99,"m"))</f>
        <v/>
      </c>
      <c r="K99" s="21" t="str">
        <f aca="false">IF(OR(B99="",C99="",D99=""),"",IF(B99=Lists!$E$10,"Short",IF(D99&gt;EDATE(C99,IF(OR(B99=Lists!$E$5,B99=Lists!$E$6),12,24)),"Long","Short")))</f>
        <v/>
      </c>
      <c r="L99" s="20" t="str">
        <f aca="false">IF(K99="","",IF(AND(B99=Lists!$E$5,K99="Long",C99&lt;DATE(2018,2,1),N(I99)&gt;0),MAX(G99,MIN(I99,E99)),IF(AND(C99&lt;DATE(2001,4,1),N(I99)&gt;0,B99&lt;&gt;Lists!$E$5),I99,G99)))</f>
        <v/>
      </c>
      <c r="M99" s="20" t="str">
        <f aca="false">IF(K99="","",E99-F99-L99-H99)</f>
        <v/>
      </c>
      <c r="N99" s="20" t="str">
        <f aca="false">IF(K99="","",IF(AND(K99="Long",B99=Lists!$E$7,C99&lt;DATE(2024,7,23)),ROUND((L99+H99)*INDEX(Lists!$C$5:$C$30,MATCH(MIN(MAX(Lists!$B$5:$B$30),YEAR(D99)-IF(MONTH(D99)&lt;4,1,0)),Lists!$B$5:$B$30,0))/INDEX(Lists!$C$5:$C$30,MATCH(MAX(2001,YEAR(C99)-IF(MONTH(C99)&lt;4,1,0)),Lists!$B$5:$B$30,0)),0),""))</f>
        <v/>
      </c>
      <c r="O99" s="20" t="str">
        <f aca="false">IF(N99="","",E99-F99-N99)</f>
        <v/>
      </c>
      <c r="P99" s="21" t="str">
        <f aca="false">IF(K99="","",IF(K99="Short",IF(B99=Lists!$E$5,"ST 20%","ST slab"),IF(B99=Lists!$E$5,"LT 112A",IF(N99="","LT 12.5%",IF(AND(M99&gt;0,O99*0.2&lt;M99*0.125),"LT 20% indexed","LT 12.5%")))))</f>
        <v/>
      </c>
      <c r="Q99" s="22" t="str">
        <f aca="false">IF(P99="","",IF(P99="LT 20% indexed",MAX(0,O99),M99))</f>
        <v/>
      </c>
    </row>
    <row r="100" customFormat="false" ht="15" hidden="false" customHeight="true" outlineLevel="0" collapsed="false">
      <c r="A100" s="23"/>
      <c r="B100" s="23"/>
      <c r="C100" s="24"/>
      <c r="D100" s="24"/>
      <c r="E100" s="25"/>
      <c r="F100" s="25"/>
      <c r="G100" s="25"/>
      <c r="H100" s="25"/>
      <c r="I100" s="25"/>
      <c r="J100" s="20" t="str">
        <f aca="false">IF(OR(B100="",C100="",D100=""),"",DATEDIF(C100,D100,"m"))</f>
        <v/>
      </c>
      <c r="K100" s="21" t="str">
        <f aca="false">IF(OR(B100="",C100="",D100=""),"",IF(B100=Lists!$E$10,"Short",IF(D100&gt;EDATE(C100,IF(OR(B100=Lists!$E$5,B100=Lists!$E$6),12,24)),"Long","Short")))</f>
        <v/>
      </c>
      <c r="L100" s="20" t="str">
        <f aca="false">IF(K100="","",IF(AND(B100=Lists!$E$5,K100="Long",C100&lt;DATE(2018,2,1),N(I100)&gt;0),MAX(G100,MIN(I100,E100)),IF(AND(C100&lt;DATE(2001,4,1),N(I100)&gt;0,B100&lt;&gt;Lists!$E$5),I100,G100)))</f>
        <v/>
      </c>
      <c r="M100" s="20" t="str">
        <f aca="false">IF(K100="","",E100-F100-L100-H100)</f>
        <v/>
      </c>
      <c r="N100" s="20" t="str">
        <f aca="false">IF(K100="","",IF(AND(K100="Long",B100=Lists!$E$7,C100&lt;DATE(2024,7,23)),ROUND((L100+H100)*INDEX(Lists!$C$5:$C$30,MATCH(MIN(MAX(Lists!$B$5:$B$30),YEAR(D100)-IF(MONTH(D100)&lt;4,1,0)),Lists!$B$5:$B$30,0))/INDEX(Lists!$C$5:$C$30,MATCH(MAX(2001,YEAR(C100)-IF(MONTH(C100)&lt;4,1,0)),Lists!$B$5:$B$30,0)),0),""))</f>
        <v/>
      </c>
      <c r="O100" s="20" t="str">
        <f aca="false">IF(N100="","",E100-F100-N100)</f>
        <v/>
      </c>
      <c r="P100" s="21" t="str">
        <f aca="false">IF(K100="","",IF(K100="Short",IF(B100=Lists!$E$5,"ST 20%","ST slab"),IF(B100=Lists!$E$5,"LT 112A",IF(N100="","LT 12.5%",IF(AND(M100&gt;0,O100*0.2&lt;M100*0.125),"LT 20% indexed","LT 12.5%")))))</f>
        <v/>
      </c>
      <c r="Q100" s="22" t="str">
        <f aca="false">IF(P100="","",IF(P100="LT 20% indexed",MAX(0,O100),M100))</f>
        <v/>
      </c>
    </row>
    <row r="101" customFormat="false" ht="15" hidden="false" customHeight="true" outlineLevel="0" collapsed="false">
      <c r="A101" s="23"/>
      <c r="B101" s="23"/>
      <c r="C101" s="24"/>
      <c r="D101" s="24"/>
      <c r="E101" s="25"/>
      <c r="F101" s="25"/>
      <c r="G101" s="25"/>
      <c r="H101" s="25"/>
      <c r="I101" s="25"/>
      <c r="J101" s="20" t="str">
        <f aca="false">IF(OR(B101="",C101="",D101=""),"",DATEDIF(C101,D101,"m"))</f>
        <v/>
      </c>
      <c r="K101" s="21" t="str">
        <f aca="false">IF(OR(B101="",C101="",D101=""),"",IF(B101=Lists!$E$10,"Short",IF(D101&gt;EDATE(C101,IF(OR(B101=Lists!$E$5,B101=Lists!$E$6),12,24)),"Long","Short")))</f>
        <v/>
      </c>
      <c r="L101" s="20" t="str">
        <f aca="false">IF(K101="","",IF(AND(B101=Lists!$E$5,K101="Long",C101&lt;DATE(2018,2,1),N(I101)&gt;0),MAX(G101,MIN(I101,E101)),IF(AND(C101&lt;DATE(2001,4,1),N(I101)&gt;0,B101&lt;&gt;Lists!$E$5),I101,G101)))</f>
        <v/>
      </c>
      <c r="M101" s="20" t="str">
        <f aca="false">IF(K101="","",E101-F101-L101-H101)</f>
        <v/>
      </c>
      <c r="N101" s="20" t="str">
        <f aca="false">IF(K101="","",IF(AND(K101="Long",B101=Lists!$E$7,C101&lt;DATE(2024,7,23)),ROUND((L101+H101)*INDEX(Lists!$C$5:$C$30,MATCH(MIN(MAX(Lists!$B$5:$B$30),YEAR(D101)-IF(MONTH(D101)&lt;4,1,0)),Lists!$B$5:$B$30,0))/INDEX(Lists!$C$5:$C$30,MATCH(MAX(2001,YEAR(C101)-IF(MONTH(C101)&lt;4,1,0)),Lists!$B$5:$B$30,0)),0),""))</f>
        <v/>
      </c>
      <c r="O101" s="20" t="str">
        <f aca="false">IF(N101="","",E101-F101-N101)</f>
        <v/>
      </c>
      <c r="P101" s="21" t="str">
        <f aca="false">IF(K101="","",IF(K101="Short",IF(B101=Lists!$E$5,"ST 20%","ST slab"),IF(B101=Lists!$E$5,"LT 112A",IF(N101="","LT 12.5%",IF(AND(M101&gt;0,O101*0.2&lt;M101*0.125),"LT 20% indexed","LT 12.5%")))))</f>
        <v/>
      </c>
      <c r="Q101" s="22" t="str">
        <f aca="false">IF(P101="","",IF(P101="LT 20% indexed",MAX(0,O101),M101))</f>
        <v/>
      </c>
    </row>
    <row r="102" customFormat="false" ht="15" hidden="false" customHeight="true" outlineLevel="0" collapsed="false">
      <c r="A102" s="23"/>
      <c r="B102" s="23"/>
      <c r="C102" s="24"/>
      <c r="D102" s="24"/>
      <c r="E102" s="25"/>
      <c r="F102" s="25"/>
      <c r="G102" s="25"/>
      <c r="H102" s="25"/>
      <c r="I102" s="25"/>
      <c r="J102" s="20" t="str">
        <f aca="false">IF(OR(B102="",C102="",D102=""),"",DATEDIF(C102,D102,"m"))</f>
        <v/>
      </c>
      <c r="K102" s="21" t="str">
        <f aca="false">IF(OR(B102="",C102="",D102=""),"",IF(B102=Lists!$E$10,"Short",IF(D102&gt;EDATE(C102,IF(OR(B102=Lists!$E$5,B102=Lists!$E$6),12,24)),"Long","Short")))</f>
        <v/>
      </c>
      <c r="L102" s="20" t="str">
        <f aca="false">IF(K102="","",IF(AND(B102=Lists!$E$5,K102="Long",C102&lt;DATE(2018,2,1),N(I102)&gt;0),MAX(G102,MIN(I102,E102)),IF(AND(C102&lt;DATE(2001,4,1),N(I102)&gt;0,B102&lt;&gt;Lists!$E$5),I102,G102)))</f>
        <v/>
      </c>
      <c r="M102" s="20" t="str">
        <f aca="false">IF(K102="","",E102-F102-L102-H102)</f>
        <v/>
      </c>
      <c r="N102" s="20" t="str">
        <f aca="false">IF(K102="","",IF(AND(K102="Long",B102=Lists!$E$7,C102&lt;DATE(2024,7,23)),ROUND((L102+H102)*INDEX(Lists!$C$5:$C$30,MATCH(MIN(MAX(Lists!$B$5:$B$30),YEAR(D102)-IF(MONTH(D102)&lt;4,1,0)),Lists!$B$5:$B$30,0))/INDEX(Lists!$C$5:$C$30,MATCH(MAX(2001,YEAR(C102)-IF(MONTH(C102)&lt;4,1,0)),Lists!$B$5:$B$30,0)),0),""))</f>
        <v/>
      </c>
      <c r="O102" s="20" t="str">
        <f aca="false">IF(N102="","",E102-F102-N102)</f>
        <v/>
      </c>
      <c r="P102" s="21" t="str">
        <f aca="false">IF(K102="","",IF(K102="Short",IF(B102=Lists!$E$5,"ST 20%","ST slab"),IF(B102=Lists!$E$5,"LT 112A",IF(N102="","LT 12.5%",IF(AND(M102&gt;0,O102*0.2&lt;M102*0.125),"LT 20% indexed","LT 12.5%")))))</f>
        <v/>
      </c>
      <c r="Q102" s="22" t="str">
        <f aca="false">IF(P102="","",IF(P102="LT 20% indexed",MAX(0,O102),M102))</f>
        <v/>
      </c>
    </row>
    <row r="103" customFormat="false" ht="15" hidden="false" customHeight="true" outlineLevel="0" collapsed="false">
      <c r="A103" s="23"/>
      <c r="B103" s="23"/>
      <c r="C103" s="24"/>
      <c r="D103" s="24"/>
      <c r="E103" s="25"/>
      <c r="F103" s="25"/>
      <c r="G103" s="25"/>
      <c r="H103" s="25"/>
      <c r="I103" s="25"/>
      <c r="J103" s="20" t="str">
        <f aca="false">IF(OR(B103="",C103="",D103=""),"",DATEDIF(C103,D103,"m"))</f>
        <v/>
      </c>
      <c r="K103" s="21" t="str">
        <f aca="false">IF(OR(B103="",C103="",D103=""),"",IF(B103=Lists!$E$10,"Short",IF(D103&gt;EDATE(C103,IF(OR(B103=Lists!$E$5,B103=Lists!$E$6),12,24)),"Long","Short")))</f>
        <v/>
      </c>
      <c r="L103" s="20" t="str">
        <f aca="false">IF(K103="","",IF(AND(B103=Lists!$E$5,K103="Long",C103&lt;DATE(2018,2,1),N(I103)&gt;0),MAX(G103,MIN(I103,E103)),IF(AND(C103&lt;DATE(2001,4,1),N(I103)&gt;0,B103&lt;&gt;Lists!$E$5),I103,G103)))</f>
        <v/>
      </c>
      <c r="M103" s="20" t="str">
        <f aca="false">IF(K103="","",E103-F103-L103-H103)</f>
        <v/>
      </c>
      <c r="N103" s="20" t="str">
        <f aca="false">IF(K103="","",IF(AND(K103="Long",B103=Lists!$E$7,C103&lt;DATE(2024,7,23)),ROUND((L103+H103)*INDEX(Lists!$C$5:$C$30,MATCH(MIN(MAX(Lists!$B$5:$B$30),YEAR(D103)-IF(MONTH(D103)&lt;4,1,0)),Lists!$B$5:$B$30,0))/INDEX(Lists!$C$5:$C$30,MATCH(MAX(2001,YEAR(C103)-IF(MONTH(C103)&lt;4,1,0)),Lists!$B$5:$B$30,0)),0),""))</f>
        <v/>
      </c>
      <c r="O103" s="20" t="str">
        <f aca="false">IF(N103="","",E103-F103-N103)</f>
        <v/>
      </c>
      <c r="P103" s="21" t="str">
        <f aca="false">IF(K103="","",IF(K103="Short",IF(B103=Lists!$E$5,"ST 20%","ST slab"),IF(B103=Lists!$E$5,"LT 112A",IF(N103="","LT 12.5%",IF(AND(M103&gt;0,O103*0.2&lt;M103*0.125),"LT 20% indexed","LT 12.5%")))))</f>
        <v/>
      </c>
      <c r="Q103" s="22" t="str">
        <f aca="false">IF(P103="","",IF(P103="LT 20% indexed",MAX(0,O103),M103))</f>
        <v/>
      </c>
    </row>
    <row r="104" customFormat="false" ht="15" hidden="false" customHeight="true" outlineLevel="0" collapsed="false">
      <c r="A104" s="23"/>
      <c r="B104" s="23"/>
      <c r="C104" s="24"/>
      <c r="D104" s="24"/>
      <c r="E104" s="25"/>
      <c r="F104" s="25"/>
      <c r="G104" s="25"/>
      <c r="H104" s="25"/>
      <c r="I104" s="25"/>
      <c r="J104" s="20" t="str">
        <f aca="false">IF(OR(B104="",C104="",D104=""),"",DATEDIF(C104,D104,"m"))</f>
        <v/>
      </c>
      <c r="K104" s="21" t="str">
        <f aca="false">IF(OR(B104="",C104="",D104=""),"",IF(B104=Lists!$E$10,"Short",IF(D104&gt;EDATE(C104,IF(OR(B104=Lists!$E$5,B104=Lists!$E$6),12,24)),"Long","Short")))</f>
        <v/>
      </c>
      <c r="L104" s="20" t="str">
        <f aca="false">IF(K104="","",IF(AND(B104=Lists!$E$5,K104="Long",C104&lt;DATE(2018,2,1),N(I104)&gt;0),MAX(G104,MIN(I104,E104)),IF(AND(C104&lt;DATE(2001,4,1),N(I104)&gt;0,B104&lt;&gt;Lists!$E$5),I104,G104)))</f>
        <v/>
      </c>
      <c r="M104" s="20" t="str">
        <f aca="false">IF(K104="","",E104-F104-L104-H104)</f>
        <v/>
      </c>
      <c r="N104" s="20" t="str">
        <f aca="false">IF(K104="","",IF(AND(K104="Long",B104=Lists!$E$7,C104&lt;DATE(2024,7,23)),ROUND((L104+H104)*INDEX(Lists!$C$5:$C$30,MATCH(MIN(MAX(Lists!$B$5:$B$30),YEAR(D104)-IF(MONTH(D104)&lt;4,1,0)),Lists!$B$5:$B$30,0))/INDEX(Lists!$C$5:$C$30,MATCH(MAX(2001,YEAR(C104)-IF(MONTH(C104)&lt;4,1,0)),Lists!$B$5:$B$30,0)),0),""))</f>
        <v/>
      </c>
      <c r="O104" s="20" t="str">
        <f aca="false">IF(N104="","",E104-F104-N104)</f>
        <v/>
      </c>
      <c r="P104" s="21" t="str">
        <f aca="false">IF(K104="","",IF(K104="Short",IF(B104=Lists!$E$5,"ST 20%","ST slab"),IF(B104=Lists!$E$5,"LT 112A",IF(N104="","LT 12.5%",IF(AND(M104&gt;0,O104*0.2&lt;M104*0.125),"LT 20% indexed","LT 12.5%")))))</f>
        <v/>
      </c>
      <c r="Q104" s="22" t="str">
        <f aca="false">IF(P104="","",IF(P104="LT 20% indexed",MAX(0,O104),M104))</f>
        <v/>
      </c>
    </row>
    <row r="105" customFormat="false" ht="15" hidden="false" customHeight="true" outlineLevel="0" collapsed="false">
      <c r="A105" s="23"/>
      <c r="B105" s="23"/>
      <c r="C105" s="24"/>
      <c r="D105" s="24"/>
      <c r="E105" s="25"/>
      <c r="F105" s="25"/>
      <c r="G105" s="25"/>
      <c r="H105" s="25"/>
      <c r="I105" s="25"/>
      <c r="J105" s="20" t="str">
        <f aca="false">IF(OR(B105="",C105="",D105=""),"",DATEDIF(C105,D105,"m"))</f>
        <v/>
      </c>
      <c r="K105" s="21" t="str">
        <f aca="false">IF(OR(B105="",C105="",D105=""),"",IF(B105=Lists!$E$10,"Short",IF(D105&gt;EDATE(C105,IF(OR(B105=Lists!$E$5,B105=Lists!$E$6),12,24)),"Long","Short")))</f>
        <v/>
      </c>
      <c r="L105" s="20" t="str">
        <f aca="false">IF(K105="","",IF(AND(B105=Lists!$E$5,K105="Long",C105&lt;DATE(2018,2,1),N(I105)&gt;0),MAX(G105,MIN(I105,E105)),IF(AND(C105&lt;DATE(2001,4,1),N(I105)&gt;0,B105&lt;&gt;Lists!$E$5),I105,G105)))</f>
        <v/>
      </c>
      <c r="M105" s="20" t="str">
        <f aca="false">IF(K105="","",E105-F105-L105-H105)</f>
        <v/>
      </c>
      <c r="N105" s="20" t="str">
        <f aca="false">IF(K105="","",IF(AND(K105="Long",B105=Lists!$E$7,C105&lt;DATE(2024,7,23)),ROUND((L105+H105)*INDEX(Lists!$C$5:$C$30,MATCH(MIN(MAX(Lists!$B$5:$B$30),YEAR(D105)-IF(MONTH(D105)&lt;4,1,0)),Lists!$B$5:$B$30,0))/INDEX(Lists!$C$5:$C$30,MATCH(MAX(2001,YEAR(C105)-IF(MONTH(C105)&lt;4,1,0)),Lists!$B$5:$B$30,0)),0),""))</f>
        <v/>
      </c>
      <c r="O105" s="20" t="str">
        <f aca="false">IF(N105="","",E105-F105-N105)</f>
        <v/>
      </c>
      <c r="P105" s="21" t="str">
        <f aca="false">IF(K105="","",IF(K105="Short",IF(B105=Lists!$E$5,"ST 20%","ST slab"),IF(B105=Lists!$E$5,"LT 112A",IF(N105="","LT 12.5%",IF(AND(M105&gt;0,O105*0.2&lt;M105*0.125),"LT 20% indexed","LT 12.5%")))))</f>
        <v/>
      </c>
      <c r="Q105" s="22" t="str">
        <f aca="false">IF(P105="","",IF(P105="LT 20% indexed",MAX(0,O105),M105))</f>
        <v/>
      </c>
    </row>
    <row r="106" customFormat="false" ht="15" hidden="false" customHeight="true" outlineLevel="0" collapsed="false">
      <c r="A106" s="23"/>
      <c r="B106" s="23"/>
      <c r="C106" s="24"/>
      <c r="D106" s="24"/>
      <c r="E106" s="25"/>
      <c r="F106" s="25"/>
      <c r="G106" s="25"/>
      <c r="H106" s="25"/>
      <c r="I106" s="25"/>
      <c r="J106" s="20" t="str">
        <f aca="false">IF(OR(B106="",C106="",D106=""),"",DATEDIF(C106,D106,"m"))</f>
        <v/>
      </c>
      <c r="K106" s="21" t="str">
        <f aca="false">IF(OR(B106="",C106="",D106=""),"",IF(B106=Lists!$E$10,"Short",IF(D106&gt;EDATE(C106,IF(OR(B106=Lists!$E$5,B106=Lists!$E$6),12,24)),"Long","Short")))</f>
        <v/>
      </c>
      <c r="L106" s="20" t="str">
        <f aca="false">IF(K106="","",IF(AND(B106=Lists!$E$5,K106="Long",C106&lt;DATE(2018,2,1),N(I106)&gt;0),MAX(G106,MIN(I106,E106)),IF(AND(C106&lt;DATE(2001,4,1),N(I106)&gt;0,B106&lt;&gt;Lists!$E$5),I106,G106)))</f>
        <v/>
      </c>
      <c r="M106" s="20" t="str">
        <f aca="false">IF(K106="","",E106-F106-L106-H106)</f>
        <v/>
      </c>
      <c r="N106" s="20" t="str">
        <f aca="false">IF(K106="","",IF(AND(K106="Long",B106=Lists!$E$7,C106&lt;DATE(2024,7,23)),ROUND((L106+H106)*INDEX(Lists!$C$5:$C$30,MATCH(MIN(MAX(Lists!$B$5:$B$30),YEAR(D106)-IF(MONTH(D106)&lt;4,1,0)),Lists!$B$5:$B$30,0))/INDEX(Lists!$C$5:$C$30,MATCH(MAX(2001,YEAR(C106)-IF(MONTH(C106)&lt;4,1,0)),Lists!$B$5:$B$30,0)),0),""))</f>
        <v/>
      </c>
      <c r="O106" s="20" t="str">
        <f aca="false">IF(N106="","",E106-F106-N106)</f>
        <v/>
      </c>
      <c r="P106" s="21" t="str">
        <f aca="false">IF(K106="","",IF(K106="Short",IF(B106=Lists!$E$5,"ST 20%","ST slab"),IF(B106=Lists!$E$5,"LT 112A",IF(N106="","LT 12.5%",IF(AND(M106&gt;0,O106*0.2&lt;M106*0.125),"LT 20% indexed","LT 12.5%")))))</f>
        <v/>
      </c>
      <c r="Q106" s="22" t="str">
        <f aca="false">IF(P106="","",IF(P106="LT 20% indexed",MAX(0,O106),M106))</f>
        <v/>
      </c>
    </row>
    <row r="107" customFormat="false" ht="15" hidden="false" customHeight="true" outlineLevel="0" collapsed="false">
      <c r="A107" s="23"/>
      <c r="B107" s="23"/>
      <c r="C107" s="24"/>
      <c r="D107" s="24"/>
      <c r="E107" s="25"/>
      <c r="F107" s="25"/>
      <c r="G107" s="25"/>
      <c r="H107" s="25"/>
      <c r="I107" s="25"/>
      <c r="J107" s="20" t="str">
        <f aca="false">IF(OR(B107="",C107="",D107=""),"",DATEDIF(C107,D107,"m"))</f>
        <v/>
      </c>
      <c r="K107" s="21" t="str">
        <f aca="false">IF(OR(B107="",C107="",D107=""),"",IF(B107=Lists!$E$10,"Short",IF(D107&gt;EDATE(C107,IF(OR(B107=Lists!$E$5,B107=Lists!$E$6),12,24)),"Long","Short")))</f>
        <v/>
      </c>
      <c r="L107" s="20" t="str">
        <f aca="false">IF(K107="","",IF(AND(B107=Lists!$E$5,K107="Long",C107&lt;DATE(2018,2,1),N(I107)&gt;0),MAX(G107,MIN(I107,E107)),IF(AND(C107&lt;DATE(2001,4,1),N(I107)&gt;0,B107&lt;&gt;Lists!$E$5),I107,G107)))</f>
        <v/>
      </c>
      <c r="M107" s="20" t="str">
        <f aca="false">IF(K107="","",E107-F107-L107-H107)</f>
        <v/>
      </c>
      <c r="N107" s="20" t="str">
        <f aca="false">IF(K107="","",IF(AND(K107="Long",B107=Lists!$E$7,C107&lt;DATE(2024,7,23)),ROUND((L107+H107)*INDEX(Lists!$C$5:$C$30,MATCH(MIN(MAX(Lists!$B$5:$B$30),YEAR(D107)-IF(MONTH(D107)&lt;4,1,0)),Lists!$B$5:$B$30,0))/INDEX(Lists!$C$5:$C$30,MATCH(MAX(2001,YEAR(C107)-IF(MONTH(C107)&lt;4,1,0)),Lists!$B$5:$B$30,0)),0),""))</f>
        <v/>
      </c>
      <c r="O107" s="20" t="str">
        <f aca="false">IF(N107="","",E107-F107-N107)</f>
        <v/>
      </c>
      <c r="P107" s="21" t="str">
        <f aca="false">IF(K107="","",IF(K107="Short",IF(B107=Lists!$E$5,"ST 20%","ST slab"),IF(B107=Lists!$E$5,"LT 112A",IF(N107="","LT 12.5%",IF(AND(M107&gt;0,O107*0.2&lt;M107*0.125),"LT 20% indexed","LT 12.5%")))))</f>
        <v/>
      </c>
      <c r="Q107" s="22" t="str">
        <f aca="false">IF(P107="","",IF(P107="LT 20% indexed",MAX(0,O107),M107))</f>
        <v/>
      </c>
    </row>
    <row r="108" customFormat="false" ht="15" hidden="false" customHeight="true" outlineLevel="0" collapsed="false">
      <c r="A108" s="23"/>
      <c r="B108" s="23"/>
      <c r="C108" s="24"/>
      <c r="D108" s="24"/>
      <c r="E108" s="25"/>
      <c r="F108" s="25"/>
      <c r="G108" s="25"/>
      <c r="H108" s="25"/>
      <c r="I108" s="25"/>
      <c r="J108" s="20" t="str">
        <f aca="false">IF(OR(B108="",C108="",D108=""),"",DATEDIF(C108,D108,"m"))</f>
        <v/>
      </c>
      <c r="K108" s="21" t="str">
        <f aca="false">IF(OR(B108="",C108="",D108=""),"",IF(B108=Lists!$E$10,"Short",IF(D108&gt;EDATE(C108,IF(OR(B108=Lists!$E$5,B108=Lists!$E$6),12,24)),"Long","Short")))</f>
        <v/>
      </c>
      <c r="L108" s="20" t="str">
        <f aca="false">IF(K108="","",IF(AND(B108=Lists!$E$5,K108="Long",C108&lt;DATE(2018,2,1),N(I108)&gt;0),MAX(G108,MIN(I108,E108)),IF(AND(C108&lt;DATE(2001,4,1),N(I108)&gt;0,B108&lt;&gt;Lists!$E$5),I108,G108)))</f>
        <v/>
      </c>
      <c r="M108" s="20" t="str">
        <f aca="false">IF(K108="","",E108-F108-L108-H108)</f>
        <v/>
      </c>
      <c r="N108" s="20" t="str">
        <f aca="false">IF(K108="","",IF(AND(K108="Long",B108=Lists!$E$7,C108&lt;DATE(2024,7,23)),ROUND((L108+H108)*INDEX(Lists!$C$5:$C$30,MATCH(MIN(MAX(Lists!$B$5:$B$30),YEAR(D108)-IF(MONTH(D108)&lt;4,1,0)),Lists!$B$5:$B$30,0))/INDEX(Lists!$C$5:$C$30,MATCH(MAX(2001,YEAR(C108)-IF(MONTH(C108)&lt;4,1,0)),Lists!$B$5:$B$30,0)),0),""))</f>
        <v/>
      </c>
      <c r="O108" s="20" t="str">
        <f aca="false">IF(N108="","",E108-F108-N108)</f>
        <v/>
      </c>
      <c r="P108" s="21" t="str">
        <f aca="false">IF(K108="","",IF(K108="Short",IF(B108=Lists!$E$5,"ST 20%","ST slab"),IF(B108=Lists!$E$5,"LT 112A",IF(N108="","LT 12.5%",IF(AND(M108&gt;0,O108*0.2&lt;M108*0.125),"LT 20% indexed","LT 12.5%")))))</f>
        <v/>
      </c>
      <c r="Q108" s="22" t="str">
        <f aca="false">IF(P108="","",IF(P108="LT 20% indexed",MAX(0,O108),M108))</f>
        <v/>
      </c>
    </row>
    <row r="109" customFormat="false" ht="15" hidden="false" customHeight="true" outlineLevel="0" collapsed="false">
      <c r="A109" s="23"/>
      <c r="B109" s="23"/>
      <c r="C109" s="24"/>
      <c r="D109" s="24"/>
      <c r="E109" s="25"/>
      <c r="F109" s="25"/>
      <c r="G109" s="25"/>
      <c r="H109" s="25"/>
      <c r="I109" s="25"/>
      <c r="J109" s="20" t="str">
        <f aca="false">IF(OR(B109="",C109="",D109=""),"",DATEDIF(C109,D109,"m"))</f>
        <v/>
      </c>
      <c r="K109" s="21" t="str">
        <f aca="false">IF(OR(B109="",C109="",D109=""),"",IF(B109=Lists!$E$10,"Short",IF(D109&gt;EDATE(C109,IF(OR(B109=Lists!$E$5,B109=Lists!$E$6),12,24)),"Long","Short")))</f>
        <v/>
      </c>
      <c r="L109" s="20" t="str">
        <f aca="false">IF(K109="","",IF(AND(B109=Lists!$E$5,K109="Long",C109&lt;DATE(2018,2,1),N(I109)&gt;0),MAX(G109,MIN(I109,E109)),IF(AND(C109&lt;DATE(2001,4,1),N(I109)&gt;0,B109&lt;&gt;Lists!$E$5),I109,G109)))</f>
        <v/>
      </c>
      <c r="M109" s="20" t="str">
        <f aca="false">IF(K109="","",E109-F109-L109-H109)</f>
        <v/>
      </c>
      <c r="N109" s="20" t="str">
        <f aca="false">IF(K109="","",IF(AND(K109="Long",B109=Lists!$E$7,C109&lt;DATE(2024,7,23)),ROUND((L109+H109)*INDEX(Lists!$C$5:$C$30,MATCH(MIN(MAX(Lists!$B$5:$B$30),YEAR(D109)-IF(MONTH(D109)&lt;4,1,0)),Lists!$B$5:$B$30,0))/INDEX(Lists!$C$5:$C$30,MATCH(MAX(2001,YEAR(C109)-IF(MONTH(C109)&lt;4,1,0)),Lists!$B$5:$B$30,0)),0),""))</f>
        <v/>
      </c>
      <c r="O109" s="20" t="str">
        <f aca="false">IF(N109="","",E109-F109-N109)</f>
        <v/>
      </c>
      <c r="P109" s="21" t="str">
        <f aca="false">IF(K109="","",IF(K109="Short",IF(B109=Lists!$E$5,"ST 20%","ST slab"),IF(B109=Lists!$E$5,"LT 112A",IF(N109="","LT 12.5%",IF(AND(M109&gt;0,O109*0.2&lt;M109*0.125),"LT 20% indexed","LT 12.5%")))))</f>
        <v/>
      </c>
      <c r="Q109" s="22" t="str">
        <f aca="false">IF(P109="","",IF(P109="LT 20% indexed",MAX(0,O109),M109))</f>
        <v/>
      </c>
    </row>
    <row r="110" customFormat="false" ht="15" hidden="false" customHeight="true" outlineLevel="0" collapsed="false">
      <c r="A110" s="23"/>
      <c r="B110" s="23"/>
      <c r="C110" s="24"/>
      <c r="D110" s="24"/>
      <c r="E110" s="25"/>
      <c r="F110" s="25"/>
      <c r="G110" s="25"/>
      <c r="H110" s="25"/>
      <c r="I110" s="25"/>
      <c r="J110" s="20" t="str">
        <f aca="false">IF(OR(B110="",C110="",D110=""),"",DATEDIF(C110,D110,"m"))</f>
        <v/>
      </c>
      <c r="K110" s="21" t="str">
        <f aca="false">IF(OR(B110="",C110="",D110=""),"",IF(B110=Lists!$E$10,"Short",IF(D110&gt;EDATE(C110,IF(OR(B110=Lists!$E$5,B110=Lists!$E$6),12,24)),"Long","Short")))</f>
        <v/>
      </c>
      <c r="L110" s="20" t="str">
        <f aca="false">IF(K110="","",IF(AND(B110=Lists!$E$5,K110="Long",C110&lt;DATE(2018,2,1),N(I110)&gt;0),MAX(G110,MIN(I110,E110)),IF(AND(C110&lt;DATE(2001,4,1),N(I110)&gt;0,B110&lt;&gt;Lists!$E$5),I110,G110)))</f>
        <v/>
      </c>
      <c r="M110" s="20" t="str">
        <f aca="false">IF(K110="","",E110-F110-L110-H110)</f>
        <v/>
      </c>
      <c r="N110" s="20" t="str">
        <f aca="false">IF(K110="","",IF(AND(K110="Long",B110=Lists!$E$7,C110&lt;DATE(2024,7,23)),ROUND((L110+H110)*INDEX(Lists!$C$5:$C$30,MATCH(MIN(MAX(Lists!$B$5:$B$30),YEAR(D110)-IF(MONTH(D110)&lt;4,1,0)),Lists!$B$5:$B$30,0))/INDEX(Lists!$C$5:$C$30,MATCH(MAX(2001,YEAR(C110)-IF(MONTH(C110)&lt;4,1,0)),Lists!$B$5:$B$30,0)),0),""))</f>
        <v/>
      </c>
      <c r="O110" s="20" t="str">
        <f aca="false">IF(N110="","",E110-F110-N110)</f>
        <v/>
      </c>
      <c r="P110" s="21" t="str">
        <f aca="false">IF(K110="","",IF(K110="Short",IF(B110=Lists!$E$5,"ST 20%","ST slab"),IF(B110=Lists!$E$5,"LT 112A",IF(N110="","LT 12.5%",IF(AND(M110&gt;0,O110*0.2&lt;M110*0.125),"LT 20% indexed","LT 12.5%")))))</f>
        <v/>
      </c>
      <c r="Q110" s="22" t="str">
        <f aca="false">IF(P110="","",IF(P110="LT 20% indexed",MAX(0,O110),M110))</f>
        <v/>
      </c>
    </row>
    <row r="111" customFormat="false" ht="15" hidden="false" customHeight="true" outlineLevel="0" collapsed="false">
      <c r="A111" s="23"/>
      <c r="B111" s="23"/>
      <c r="C111" s="24"/>
      <c r="D111" s="24"/>
      <c r="E111" s="25"/>
      <c r="F111" s="25"/>
      <c r="G111" s="25"/>
      <c r="H111" s="25"/>
      <c r="I111" s="25"/>
      <c r="J111" s="20" t="str">
        <f aca="false">IF(OR(B111="",C111="",D111=""),"",DATEDIF(C111,D111,"m"))</f>
        <v/>
      </c>
      <c r="K111" s="21" t="str">
        <f aca="false">IF(OR(B111="",C111="",D111=""),"",IF(B111=Lists!$E$10,"Short",IF(D111&gt;EDATE(C111,IF(OR(B111=Lists!$E$5,B111=Lists!$E$6),12,24)),"Long","Short")))</f>
        <v/>
      </c>
      <c r="L111" s="20" t="str">
        <f aca="false">IF(K111="","",IF(AND(B111=Lists!$E$5,K111="Long",C111&lt;DATE(2018,2,1),N(I111)&gt;0),MAX(G111,MIN(I111,E111)),IF(AND(C111&lt;DATE(2001,4,1),N(I111)&gt;0,B111&lt;&gt;Lists!$E$5),I111,G111)))</f>
        <v/>
      </c>
      <c r="M111" s="20" t="str">
        <f aca="false">IF(K111="","",E111-F111-L111-H111)</f>
        <v/>
      </c>
      <c r="N111" s="20" t="str">
        <f aca="false">IF(K111="","",IF(AND(K111="Long",B111=Lists!$E$7,C111&lt;DATE(2024,7,23)),ROUND((L111+H111)*INDEX(Lists!$C$5:$C$30,MATCH(MIN(MAX(Lists!$B$5:$B$30),YEAR(D111)-IF(MONTH(D111)&lt;4,1,0)),Lists!$B$5:$B$30,0))/INDEX(Lists!$C$5:$C$30,MATCH(MAX(2001,YEAR(C111)-IF(MONTH(C111)&lt;4,1,0)),Lists!$B$5:$B$30,0)),0),""))</f>
        <v/>
      </c>
      <c r="O111" s="20" t="str">
        <f aca="false">IF(N111="","",E111-F111-N111)</f>
        <v/>
      </c>
      <c r="P111" s="21" t="str">
        <f aca="false">IF(K111="","",IF(K111="Short",IF(B111=Lists!$E$5,"ST 20%","ST slab"),IF(B111=Lists!$E$5,"LT 112A",IF(N111="","LT 12.5%",IF(AND(M111&gt;0,O111*0.2&lt;M111*0.125),"LT 20% indexed","LT 12.5%")))))</f>
        <v/>
      </c>
      <c r="Q111" s="22" t="str">
        <f aca="false">IF(P111="","",IF(P111="LT 20% indexed",MAX(0,O111),M111))</f>
        <v/>
      </c>
    </row>
    <row r="112" customFormat="false" ht="15" hidden="false" customHeight="true" outlineLevel="0" collapsed="false">
      <c r="A112" s="23"/>
      <c r="B112" s="23"/>
      <c r="C112" s="24"/>
      <c r="D112" s="24"/>
      <c r="E112" s="25"/>
      <c r="F112" s="25"/>
      <c r="G112" s="25"/>
      <c r="H112" s="25"/>
      <c r="I112" s="25"/>
      <c r="J112" s="20" t="str">
        <f aca="false">IF(OR(B112="",C112="",D112=""),"",DATEDIF(C112,D112,"m"))</f>
        <v/>
      </c>
      <c r="K112" s="21" t="str">
        <f aca="false">IF(OR(B112="",C112="",D112=""),"",IF(B112=Lists!$E$10,"Short",IF(D112&gt;EDATE(C112,IF(OR(B112=Lists!$E$5,B112=Lists!$E$6),12,24)),"Long","Short")))</f>
        <v/>
      </c>
      <c r="L112" s="20" t="str">
        <f aca="false">IF(K112="","",IF(AND(B112=Lists!$E$5,K112="Long",C112&lt;DATE(2018,2,1),N(I112)&gt;0),MAX(G112,MIN(I112,E112)),IF(AND(C112&lt;DATE(2001,4,1),N(I112)&gt;0,B112&lt;&gt;Lists!$E$5),I112,G112)))</f>
        <v/>
      </c>
      <c r="M112" s="20" t="str">
        <f aca="false">IF(K112="","",E112-F112-L112-H112)</f>
        <v/>
      </c>
      <c r="N112" s="20" t="str">
        <f aca="false">IF(K112="","",IF(AND(K112="Long",B112=Lists!$E$7,C112&lt;DATE(2024,7,23)),ROUND((L112+H112)*INDEX(Lists!$C$5:$C$30,MATCH(MIN(MAX(Lists!$B$5:$B$30),YEAR(D112)-IF(MONTH(D112)&lt;4,1,0)),Lists!$B$5:$B$30,0))/INDEX(Lists!$C$5:$C$30,MATCH(MAX(2001,YEAR(C112)-IF(MONTH(C112)&lt;4,1,0)),Lists!$B$5:$B$30,0)),0),""))</f>
        <v/>
      </c>
      <c r="O112" s="20" t="str">
        <f aca="false">IF(N112="","",E112-F112-N112)</f>
        <v/>
      </c>
      <c r="P112" s="21" t="str">
        <f aca="false">IF(K112="","",IF(K112="Short",IF(B112=Lists!$E$5,"ST 20%","ST slab"),IF(B112=Lists!$E$5,"LT 112A",IF(N112="","LT 12.5%",IF(AND(M112&gt;0,O112*0.2&lt;M112*0.125),"LT 20% indexed","LT 12.5%")))))</f>
        <v/>
      </c>
      <c r="Q112" s="22" t="str">
        <f aca="false">IF(P112="","",IF(P112="LT 20% indexed",MAX(0,O112),M112))</f>
        <v/>
      </c>
    </row>
    <row r="113" customFormat="false" ht="15" hidden="false" customHeight="true" outlineLevel="0" collapsed="false">
      <c r="A113" s="23"/>
      <c r="B113" s="23"/>
      <c r="C113" s="24"/>
      <c r="D113" s="24"/>
      <c r="E113" s="25"/>
      <c r="F113" s="25"/>
      <c r="G113" s="25"/>
      <c r="H113" s="25"/>
      <c r="I113" s="25"/>
      <c r="J113" s="20" t="str">
        <f aca="false">IF(OR(B113="",C113="",D113=""),"",DATEDIF(C113,D113,"m"))</f>
        <v/>
      </c>
      <c r="K113" s="21" t="str">
        <f aca="false">IF(OR(B113="",C113="",D113=""),"",IF(B113=Lists!$E$10,"Short",IF(D113&gt;EDATE(C113,IF(OR(B113=Lists!$E$5,B113=Lists!$E$6),12,24)),"Long","Short")))</f>
        <v/>
      </c>
      <c r="L113" s="20" t="str">
        <f aca="false">IF(K113="","",IF(AND(B113=Lists!$E$5,K113="Long",C113&lt;DATE(2018,2,1),N(I113)&gt;0),MAX(G113,MIN(I113,E113)),IF(AND(C113&lt;DATE(2001,4,1),N(I113)&gt;0,B113&lt;&gt;Lists!$E$5),I113,G113)))</f>
        <v/>
      </c>
      <c r="M113" s="20" t="str">
        <f aca="false">IF(K113="","",E113-F113-L113-H113)</f>
        <v/>
      </c>
      <c r="N113" s="20" t="str">
        <f aca="false">IF(K113="","",IF(AND(K113="Long",B113=Lists!$E$7,C113&lt;DATE(2024,7,23)),ROUND((L113+H113)*INDEX(Lists!$C$5:$C$30,MATCH(MIN(MAX(Lists!$B$5:$B$30),YEAR(D113)-IF(MONTH(D113)&lt;4,1,0)),Lists!$B$5:$B$30,0))/INDEX(Lists!$C$5:$C$30,MATCH(MAX(2001,YEAR(C113)-IF(MONTH(C113)&lt;4,1,0)),Lists!$B$5:$B$30,0)),0),""))</f>
        <v/>
      </c>
      <c r="O113" s="20" t="str">
        <f aca="false">IF(N113="","",E113-F113-N113)</f>
        <v/>
      </c>
      <c r="P113" s="21" t="str">
        <f aca="false">IF(K113="","",IF(K113="Short",IF(B113=Lists!$E$5,"ST 20%","ST slab"),IF(B113=Lists!$E$5,"LT 112A",IF(N113="","LT 12.5%",IF(AND(M113&gt;0,O113*0.2&lt;M113*0.125),"LT 20% indexed","LT 12.5%")))))</f>
        <v/>
      </c>
      <c r="Q113" s="22" t="str">
        <f aca="false">IF(P113="","",IF(P113="LT 20% indexed",MAX(0,O113),M113))</f>
        <v/>
      </c>
    </row>
    <row r="114" customFormat="false" ht="15" hidden="false" customHeight="true" outlineLevel="0" collapsed="false">
      <c r="A114" s="23"/>
      <c r="B114" s="23"/>
      <c r="C114" s="24"/>
      <c r="D114" s="24"/>
      <c r="E114" s="25"/>
      <c r="F114" s="25"/>
      <c r="G114" s="25"/>
      <c r="H114" s="25"/>
      <c r="I114" s="25"/>
      <c r="J114" s="20" t="str">
        <f aca="false">IF(OR(B114="",C114="",D114=""),"",DATEDIF(C114,D114,"m"))</f>
        <v/>
      </c>
      <c r="K114" s="21" t="str">
        <f aca="false">IF(OR(B114="",C114="",D114=""),"",IF(B114=Lists!$E$10,"Short",IF(D114&gt;EDATE(C114,IF(OR(B114=Lists!$E$5,B114=Lists!$E$6),12,24)),"Long","Short")))</f>
        <v/>
      </c>
      <c r="L114" s="20" t="str">
        <f aca="false">IF(K114="","",IF(AND(B114=Lists!$E$5,K114="Long",C114&lt;DATE(2018,2,1),N(I114)&gt;0),MAX(G114,MIN(I114,E114)),IF(AND(C114&lt;DATE(2001,4,1),N(I114)&gt;0,B114&lt;&gt;Lists!$E$5),I114,G114)))</f>
        <v/>
      </c>
      <c r="M114" s="20" t="str">
        <f aca="false">IF(K114="","",E114-F114-L114-H114)</f>
        <v/>
      </c>
      <c r="N114" s="20" t="str">
        <f aca="false">IF(K114="","",IF(AND(K114="Long",B114=Lists!$E$7,C114&lt;DATE(2024,7,23)),ROUND((L114+H114)*INDEX(Lists!$C$5:$C$30,MATCH(MIN(MAX(Lists!$B$5:$B$30),YEAR(D114)-IF(MONTH(D114)&lt;4,1,0)),Lists!$B$5:$B$30,0))/INDEX(Lists!$C$5:$C$30,MATCH(MAX(2001,YEAR(C114)-IF(MONTH(C114)&lt;4,1,0)),Lists!$B$5:$B$30,0)),0),""))</f>
        <v/>
      </c>
      <c r="O114" s="20" t="str">
        <f aca="false">IF(N114="","",E114-F114-N114)</f>
        <v/>
      </c>
      <c r="P114" s="21" t="str">
        <f aca="false">IF(K114="","",IF(K114="Short",IF(B114=Lists!$E$5,"ST 20%","ST slab"),IF(B114=Lists!$E$5,"LT 112A",IF(N114="","LT 12.5%",IF(AND(M114&gt;0,O114*0.2&lt;M114*0.125),"LT 20% indexed","LT 12.5%")))))</f>
        <v/>
      </c>
      <c r="Q114" s="22" t="str">
        <f aca="false">IF(P114="","",IF(P114="LT 20% indexed",MAX(0,O114),M114))</f>
        <v/>
      </c>
    </row>
    <row r="115" customFormat="false" ht="15" hidden="false" customHeight="true" outlineLevel="0" collapsed="false">
      <c r="A115" s="23"/>
      <c r="B115" s="23"/>
      <c r="C115" s="24"/>
      <c r="D115" s="24"/>
      <c r="E115" s="25"/>
      <c r="F115" s="25"/>
      <c r="G115" s="25"/>
      <c r="H115" s="25"/>
      <c r="I115" s="25"/>
      <c r="J115" s="20" t="str">
        <f aca="false">IF(OR(B115="",C115="",D115=""),"",DATEDIF(C115,D115,"m"))</f>
        <v/>
      </c>
      <c r="K115" s="21" t="str">
        <f aca="false">IF(OR(B115="",C115="",D115=""),"",IF(B115=Lists!$E$10,"Short",IF(D115&gt;EDATE(C115,IF(OR(B115=Lists!$E$5,B115=Lists!$E$6),12,24)),"Long","Short")))</f>
        <v/>
      </c>
      <c r="L115" s="20" t="str">
        <f aca="false">IF(K115="","",IF(AND(B115=Lists!$E$5,K115="Long",C115&lt;DATE(2018,2,1),N(I115)&gt;0),MAX(G115,MIN(I115,E115)),IF(AND(C115&lt;DATE(2001,4,1),N(I115)&gt;0,B115&lt;&gt;Lists!$E$5),I115,G115)))</f>
        <v/>
      </c>
      <c r="M115" s="20" t="str">
        <f aca="false">IF(K115="","",E115-F115-L115-H115)</f>
        <v/>
      </c>
      <c r="N115" s="20" t="str">
        <f aca="false">IF(K115="","",IF(AND(K115="Long",B115=Lists!$E$7,C115&lt;DATE(2024,7,23)),ROUND((L115+H115)*INDEX(Lists!$C$5:$C$30,MATCH(MIN(MAX(Lists!$B$5:$B$30),YEAR(D115)-IF(MONTH(D115)&lt;4,1,0)),Lists!$B$5:$B$30,0))/INDEX(Lists!$C$5:$C$30,MATCH(MAX(2001,YEAR(C115)-IF(MONTH(C115)&lt;4,1,0)),Lists!$B$5:$B$30,0)),0),""))</f>
        <v/>
      </c>
      <c r="O115" s="20" t="str">
        <f aca="false">IF(N115="","",E115-F115-N115)</f>
        <v/>
      </c>
      <c r="P115" s="21" t="str">
        <f aca="false">IF(K115="","",IF(K115="Short",IF(B115=Lists!$E$5,"ST 20%","ST slab"),IF(B115=Lists!$E$5,"LT 112A",IF(N115="","LT 12.5%",IF(AND(M115&gt;0,O115*0.2&lt;M115*0.125),"LT 20% indexed","LT 12.5%")))))</f>
        <v/>
      </c>
      <c r="Q115" s="22" t="str">
        <f aca="false">IF(P115="","",IF(P115="LT 20% indexed",MAX(0,O115),M115))</f>
        <v/>
      </c>
    </row>
    <row r="116" customFormat="false" ht="15" hidden="false" customHeight="true" outlineLevel="0" collapsed="false">
      <c r="A116" s="23"/>
      <c r="B116" s="23"/>
      <c r="C116" s="24"/>
      <c r="D116" s="24"/>
      <c r="E116" s="25"/>
      <c r="F116" s="25"/>
      <c r="G116" s="25"/>
      <c r="H116" s="25"/>
      <c r="I116" s="25"/>
      <c r="J116" s="20" t="str">
        <f aca="false">IF(OR(B116="",C116="",D116=""),"",DATEDIF(C116,D116,"m"))</f>
        <v/>
      </c>
      <c r="K116" s="21" t="str">
        <f aca="false">IF(OR(B116="",C116="",D116=""),"",IF(B116=Lists!$E$10,"Short",IF(D116&gt;EDATE(C116,IF(OR(B116=Lists!$E$5,B116=Lists!$E$6),12,24)),"Long","Short")))</f>
        <v/>
      </c>
      <c r="L116" s="20" t="str">
        <f aca="false">IF(K116="","",IF(AND(B116=Lists!$E$5,K116="Long",C116&lt;DATE(2018,2,1),N(I116)&gt;0),MAX(G116,MIN(I116,E116)),IF(AND(C116&lt;DATE(2001,4,1),N(I116)&gt;0,B116&lt;&gt;Lists!$E$5),I116,G116)))</f>
        <v/>
      </c>
      <c r="M116" s="20" t="str">
        <f aca="false">IF(K116="","",E116-F116-L116-H116)</f>
        <v/>
      </c>
      <c r="N116" s="20" t="str">
        <f aca="false">IF(K116="","",IF(AND(K116="Long",B116=Lists!$E$7,C116&lt;DATE(2024,7,23)),ROUND((L116+H116)*INDEX(Lists!$C$5:$C$30,MATCH(MIN(MAX(Lists!$B$5:$B$30),YEAR(D116)-IF(MONTH(D116)&lt;4,1,0)),Lists!$B$5:$B$30,0))/INDEX(Lists!$C$5:$C$30,MATCH(MAX(2001,YEAR(C116)-IF(MONTH(C116)&lt;4,1,0)),Lists!$B$5:$B$30,0)),0),""))</f>
        <v/>
      </c>
      <c r="O116" s="20" t="str">
        <f aca="false">IF(N116="","",E116-F116-N116)</f>
        <v/>
      </c>
      <c r="P116" s="21" t="str">
        <f aca="false">IF(K116="","",IF(K116="Short",IF(B116=Lists!$E$5,"ST 20%","ST slab"),IF(B116=Lists!$E$5,"LT 112A",IF(N116="","LT 12.5%",IF(AND(M116&gt;0,O116*0.2&lt;M116*0.125),"LT 20% indexed","LT 12.5%")))))</f>
        <v/>
      </c>
      <c r="Q116" s="22" t="str">
        <f aca="false">IF(P116="","",IF(P116="LT 20% indexed",MAX(0,O116),M116))</f>
        <v/>
      </c>
    </row>
    <row r="117" customFormat="false" ht="15" hidden="false" customHeight="true" outlineLevel="0" collapsed="false">
      <c r="A117" s="23"/>
      <c r="B117" s="23"/>
      <c r="C117" s="24"/>
      <c r="D117" s="24"/>
      <c r="E117" s="25"/>
      <c r="F117" s="25"/>
      <c r="G117" s="25"/>
      <c r="H117" s="25"/>
      <c r="I117" s="25"/>
      <c r="J117" s="20" t="str">
        <f aca="false">IF(OR(B117="",C117="",D117=""),"",DATEDIF(C117,D117,"m"))</f>
        <v/>
      </c>
      <c r="K117" s="21" t="str">
        <f aca="false">IF(OR(B117="",C117="",D117=""),"",IF(B117=Lists!$E$10,"Short",IF(D117&gt;EDATE(C117,IF(OR(B117=Lists!$E$5,B117=Lists!$E$6),12,24)),"Long","Short")))</f>
        <v/>
      </c>
      <c r="L117" s="20" t="str">
        <f aca="false">IF(K117="","",IF(AND(B117=Lists!$E$5,K117="Long",C117&lt;DATE(2018,2,1),N(I117)&gt;0),MAX(G117,MIN(I117,E117)),IF(AND(C117&lt;DATE(2001,4,1),N(I117)&gt;0,B117&lt;&gt;Lists!$E$5),I117,G117)))</f>
        <v/>
      </c>
      <c r="M117" s="20" t="str">
        <f aca="false">IF(K117="","",E117-F117-L117-H117)</f>
        <v/>
      </c>
      <c r="N117" s="20" t="str">
        <f aca="false">IF(K117="","",IF(AND(K117="Long",B117=Lists!$E$7,C117&lt;DATE(2024,7,23)),ROUND((L117+H117)*INDEX(Lists!$C$5:$C$30,MATCH(MIN(MAX(Lists!$B$5:$B$30),YEAR(D117)-IF(MONTH(D117)&lt;4,1,0)),Lists!$B$5:$B$30,0))/INDEX(Lists!$C$5:$C$30,MATCH(MAX(2001,YEAR(C117)-IF(MONTH(C117)&lt;4,1,0)),Lists!$B$5:$B$30,0)),0),""))</f>
        <v/>
      </c>
      <c r="O117" s="20" t="str">
        <f aca="false">IF(N117="","",E117-F117-N117)</f>
        <v/>
      </c>
      <c r="P117" s="21" t="str">
        <f aca="false">IF(K117="","",IF(K117="Short",IF(B117=Lists!$E$5,"ST 20%","ST slab"),IF(B117=Lists!$E$5,"LT 112A",IF(N117="","LT 12.5%",IF(AND(M117&gt;0,O117*0.2&lt;M117*0.125),"LT 20% indexed","LT 12.5%")))))</f>
        <v/>
      </c>
      <c r="Q117" s="22" t="str">
        <f aca="false">IF(P117="","",IF(P117="LT 20% indexed",MAX(0,O117),M117))</f>
        <v/>
      </c>
    </row>
    <row r="118" customFormat="false" ht="15" hidden="false" customHeight="true" outlineLevel="0" collapsed="false">
      <c r="A118" s="23"/>
      <c r="B118" s="23"/>
      <c r="C118" s="24"/>
      <c r="D118" s="24"/>
      <c r="E118" s="25"/>
      <c r="F118" s="25"/>
      <c r="G118" s="25"/>
      <c r="H118" s="25"/>
      <c r="I118" s="25"/>
      <c r="J118" s="20" t="str">
        <f aca="false">IF(OR(B118="",C118="",D118=""),"",DATEDIF(C118,D118,"m"))</f>
        <v/>
      </c>
      <c r="K118" s="21" t="str">
        <f aca="false">IF(OR(B118="",C118="",D118=""),"",IF(B118=Lists!$E$10,"Short",IF(D118&gt;EDATE(C118,IF(OR(B118=Lists!$E$5,B118=Lists!$E$6),12,24)),"Long","Short")))</f>
        <v/>
      </c>
      <c r="L118" s="20" t="str">
        <f aca="false">IF(K118="","",IF(AND(B118=Lists!$E$5,K118="Long",C118&lt;DATE(2018,2,1),N(I118)&gt;0),MAX(G118,MIN(I118,E118)),IF(AND(C118&lt;DATE(2001,4,1),N(I118)&gt;0,B118&lt;&gt;Lists!$E$5),I118,G118)))</f>
        <v/>
      </c>
      <c r="M118" s="20" t="str">
        <f aca="false">IF(K118="","",E118-F118-L118-H118)</f>
        <v/>
      </c>
      <c r="N118" s="20" t="str">
        <f aca="false">IF(K118="","",IF(AND(K118="Long",B118=Lists!$E$7,C118&lt;DATE(2024,7,23)),ROUND((L118+H118)*INDEX(Lists!$C$5:$C$30,MATCH(MIN(MAX(Lists!$B$5:$B$30),YEAR(D118)-IF(MONTH(D118)&lt;4,1,0)),Lists!$B$5:$B$30,0))/INDEX(Lists!$C$5:$C$30,MATCH(MAX(2001,YEAR(C118)-IF(MONTH(C118)&lt;4,1,0)),Lists!$B$5:$B$30,0)),0),""))</f>
        <v/>
      </c>
      <c r="O118" s="20" t="str">
        <f aca="false">IF(N118="","",E118-F118-N118)</f>
        <v/>
      </c>
      <c r="P118" s="21" t="str">
        <f aca="false">IF(K118="","",IF(K118="Short",IF(B118=Lists!$E$5,"ST 20%","ST slab"),IF(B118=Lists!$E$5,"LT 112A",IF(N118="","LT 12.5%",IF(AND(M118&gt;0,O118*0.2&lt;M118*0.125),"LT 20% indexed","LT 12.5%")))))</f>
        <v/>
      </c>
      <c r="Q118" s="22" t="str">
        <f aca="false">IF(P118="","",IF(P118="LT 20% indexed",MAX(0,O118),M118))</f>
        <v/>
      </c>
    </row>
    <row r="119" customFormat="false" ht="15" hidden="false" customHeight="true" outlineLevel="0" collapsed="false">
      <c r="A119" s="23"/>
      <c r="B119" s="23"/>
      <c r="C119" s="24"/>
      <c r="D119" s="24"/>
      <c r="E119" s="25"/>
      <c r="F119" s="25"/>
      <c r="G119" s="25"/>
      <c r="H119" s="25"/>
      <c r="I119" s="25"/>
      <c r="J119" s="20" t="str">
        <f aca="false">IF(OR(B119="",C119="",D119=""),"",DATEDIF(C119,D119,"m"))</f>
        <v/>
      </c>
      <c r="K119" s="21" t="str">
        <f aca="false">IF(OR(B119="",C119="",D119=""),"",IF(B119=Lists!$E$10,"Short",IF(D119&gt;EDATE(C119,IF(OR(B119=Lists!$E$5,B119=Lists!$E$6),12,24)),"Long","Short")))</f>
        <v/>
      </c>
      <c r="L119" s="20" t="str">
        <f aca="false">IF(K119="","",IF(AND(B119=Lists!$E$5,K119="Long",C119&lt;DATE(2018,2,1),N(I119)&gt;0),MAX(G119,MIN(I119,E119)),IF(AND(C119&lt;DATE(2001,4,1),N(I119)&gt;0,B119&lt;&gt;Lists!$E$5),I119,G119)))</f>
        <v/>
      </c>
      <c r="M119" s="20" t="str">
        <f aca="false">IF(K119="","",E119-F119-L119-H119)</f>
        <v/>
      </c>
      <c r="N119" s="20" t="str">
        <f aca="false">IF(K119="","",IF(AND(K119="Long",B119=Lists!$E$7,C119&lt;DATE(2024,7,23)),ROUND((L119+H119)*INDEX(Lists!$C$5:$C$30,MATCH(MIN(MAX(Lists!$B$5:$B$30),YEAR(D119)-IF(MONTH(D119)&lt;4,1,0)),Lists!$B$5:$B$30,0))/INDEX(Lists!$C$5:$C$30,MATCH(MAX(2001,YEAR(C119)-IF(MONTH(C119)&lt;4,1,0)),Lists!$B$5:$B$30,0)),0),""))</f>
        <v/>
      </c>
      <c r="O119" s="20" t="str">
        <f aca="false">IF(N119="","",E119-F119-N119)</f>
        <v/>
      </c>
      <c r="P119" s="21" t="str">
        <f aca="false">IF(K119="","",IF(K119="Short",IF(B119=Lists!$E$5,"ST 20%","ST slab"),IF(B119=Lists!$E$5,"LT 112A",IF(N119="","LT 12.5%",IF(AND(M119&gt;0,O119*0.2&lt;M119*0.125),"LT 20% indexed","LT 12.5%")))))</f>
        <v/>
      </c>
      <c r="Q119" s="22" t="str">
        <f aca="false">IF(P119="","",IF(P119="LT 20% indexed",MAX(0,O119),M119))</f>
        <v/>
      </c>
    </row>
    <row r="120" customFormat="false" ht="15" hidden="false" customHeight="true" outlineLevel="0" collapsed="false">
      <c r="A120" s="23"/>
      <c r="B120" s="23"/>
      <c r="C120" s="24"/>
      <c r="D120" s="24"/>
      <c r="E120" s="25"/>
      <c r="F120" s="25"/>
      <c r="G120" s="25"/>
      <c r="H120" s="25"/>
      <c r="I120" s="25"/>
      <c r="J120" s="20" t="str">
        <f aca="false">IF(OR(B120="",C120="",D120=""),"",DATEDIF(C120,D120,"m"))</f>
        <v/>
      </c>
      <c r="K120" s="21" t="str">
        <f aca="false">IF(OR(B120="",C120="",D120=""),"",IF(B120=Lists!$E$10,"Short",IF(D120&gt;EDATE(C120,IF(OR(B120=Lists!$E$5,B120=Lists!$E$6),12,24)),"Long","Short")))</f>
        <v/>
      </c>
      <c r="L120" s="20" t="str">
        <f aca="false">IF(K120="","",IF(AND(B120=Lists!$E$5,K120="Long",C120&lt;DATE(2018,2,1),N(I120)&gt;0),MAX(G120,MIN(I120,E120)),IF(AND(C120&lt;DATE(2001,4,1),N(I120)&gt;0,B120&lt;&gt;Lists!$E$5),I120,G120)))</f>
        <v/>
      </c>
      <c r="M120" s="20" t="str">
        <f aca="false">IF(K120="","",E120-F120-L120-H120)</f>
        <v/>
      </c>
      <c r="N120" s="20" t="str">
        <f aca="false">IF(K120="","",IF(AND(K120="Long",B120=Lists!$E$7,C120&lt;DATE(2024,7,23)),ROUND((L120+H120)*INDEX(Lists!$C$5:$C$30,MATCH(MIN(MAX(Lists!$B$5:$B$30),YEAR(D120)-IF(MONTH(D120)&lt;4,1,0)),Lists!$B$5:$B$30,0))/INDEX(Lists!$C$5:$C$30,MATCH(MAX(2001,YEAR(C120)-IF(MONTH(C120)&lt;4,1,0)),Lists!$B$5:$B$30,0)),0),""))</f>
        <v/>
      </c>
      <c r="O120" s="20" t="str">
        <f aca="false">IF(N120="","",E120-F120-N120)</f>
        <v/>
      </c>
      <c r="P120" s="21" t="str">
        <f aca="false">IF(K120="","",IF(K120="Short",IF(B120=Lists!$E$5,"ST 20%","ST slab"),IF(B120=Lists!$E$5,"LT 112A",IF(N120="","LT 12.5%",IF(AND(M120&gt;0,O120*0.2&lt;M120*0.125),"LT 20% indexed","LT 12.5%")))))</f>
        <v/>
      </c>
      <c r="Q120" s="22" t="str">
        <f aca="false">IF(P120="","",IF(P120="LT 20% indexed",MAX(0,O120),M120))</f>
        <v/>
      </c>
    </row>
    <row r="121" customFormat="false" ht="15" hidden="false" customHeight="true" outlineLevel="0" collapsed="false">
      <c r="A121" s="23"/>
      <c r="B121" s="23"/>
      <c r="C121" s="24"/>
      <c r="D121" s="24"/>
      <c r="E121" s="25"/>
      <c r="F121" s="25"/>
      <c r="G121" s="25"/>
      <c r="H121" s="25"/>
      <c r="I121" s="25"/>
      <c r="J121" s="20" t="str">
        <f aca="false">IF(OR(B121="",C121="",D121=""),"",DATEDIF(C121,D121,"m"))</f>
        <v/>
      </c>
      <c r="K121" s="21" t="str">
        <f aca="false">IF(OR(B121="",C121="",D121=""),"",IF(B121=Lists!$E$10,"Short",IF(D121&gt;EDATE(C121,IF(OR(B121=Lists!$E$5,B121=Lists!$E$6),12,24)),"Long","Short")))</f>
        <v/>
      </c>
      <c r="L121" s="20" t="str">
        <f aca="false">IF(K121="","",IF(AND(B121=Lists!$E$5,K121="Long",C121&lt;DATE(2018,2,1),N(I121)&gt;0),MAX(G121,MIN(I121,E121)),IF(AND(C121&lt;DATE(2001,4,1),N(I121)&gt;0,B121&lt;&gt;Lists!$E$5),I121,G121)))</f>
        <v/>
      </c>
      <c r="M121" s="20" t="str">
        <f aca="false">IF(K121="","",E121-F121-L121-H121)</f>
        <v/>
      </c>
      <c r="N121" s="20" t="str">
        <f aca="false">IF(K121="","",IF(AND(K121="Long",B121=Lists!$E$7,C121&lt;DATE(2024,7,23)),ROUND((L121+H121)*INDEX(Lists!$C$5:$C$30,MATCH(MIN(MAX(Lists!$B$5:$B$30),YEAR(D121)-IF(MONTH(D121)&lt;4,1,0)),Lists!$B$5:$B$30,0))/INDEX(Lists!$C$5:$C$30,MATCH(MAX(2001,YEAR(C121)-IF(MONTH(C121)&lt;4,1,0)),Lists!$B$5:$B$30,0)),0),""))</f>
        <v/>
      </c>
      <c r="O121" s="20" t="str">
        <f aca="false">IF(N121="","",E121-F121-N121)</f>
        <v/>
      </c>
      <c r="P121" s="21" t="str">
        <f aca="false">IF(K121="","",IF(K121="Short",IF(B121=Lists!$E$5,"ST 20%","ST slab"),IF(B121=Lists!$E$5,"LT 112A",IF(N121="","LT 12.5%",IF(AND(M121&gt;0,O121*0.2&lt;M121*0.125),"LT 20% indexed","LT 12.5%")))))</f>
        <v/>
      </c>
      <c r="Q121" s="22" t="str">
        <f aca="false">IF(P121="","",IF(P121="LT 20% indexed",MAX(0,O121),M121))</f>
        <v/>
      </c>
    </row>
    <row r="122" customFormat="false" ht="15" hidden="false" customHeight="true" outlineLevel="0" collapsed="false">
      <c r="A122" s="23"/>
      <c r="B122" s="23"/>
      <c r="C122" s="24"/>
      <c r="D122" s="24"/>
      <c r="E122" s="25"/>
      <c r="F122" s="25"/>
      <c r="G122" s="25"/>
      <c r="H122" s="25"/>
      <c r="I122" s="25"/>
      <c r="J122" s="20" t="str">
        <f aca="false">IF(OR(B122="",C122="",D122=""),"",DATEDIF(C122,D122,"m"))</f>
        <v/>
      </c>
      <c r="K122" s="21" t="str">
        <f aca="false">IF(OR(B122="",C122="",D122=""),"",IF(B122=Lists!$E$10,"Short",IF(D122&gt;EDATE(C122,IF(OR(B122=Lists!$E$5,B122=Lists!$E$6),12,24)),"Long","Short")))</f>
        <v/>
      </c>
      <c r="L122" s="20" t="str">
        <f aca="false">IF(K122="","",IF(AND(B122=Lists!$E$5,K122="Long",C122&lt;DATE(2018,2,1),N(I122)&gt;0),MAX(G122,MIN(I122,E122)),IF(AND(C122&lt;DATE(2001,4,1),N(I122)&gt;0,B122&lt;&gt;Lists!$E$5),I122,G122)))</f>
        <v/>
      </c>
      <c r="M122" s="20" t="str">
        <f aca="false">IF(K122="","",E122-F122-L122-H122)</f>
        <v/>
      </c>
      <c r="N122" s="20" t="str">
        <f aca="false">IF(K122="","",IF(AND(K122="Long",B122=Lists!$E$7,C122&lt;DATE(2024,7,23)),ROUND((L122+H122)*INDEX(Lists!$C$5:$C$30,MATCH(MIN(MAX(Lists!$B$5:$B$30),YEAR(D122)-IF(MONTH(D122)&lt;4,1,0)),Lists!$B$5:$B$30,0))/INDEX(Lists!$C$5:$C$30,MATCH(MAX(2001,YEAR(C122)-IF(MONTH(C122)&lt;4,1,0)),Lists!$B$5:$B$30,0)),0),""))</f>
        <v/>
      </c>
      <c r="O122" s="20" t="str">
        <f aca="false">IF(N122="","",E122-F122-N122)</f>
        <v/>
      </c>
      <c r="P122" s="21" t="str">
        <f aca="false">IF(K122="","",IF(K122="Short",IF(B122=Lists!$E$5,"ST 20%","ST slab"),IF(B122=Lists!$E$5,"LT 112A",IF(N122="","LT 12.5%",IF(AND(M122&gt;0,O122*0.2&lt;M122*0.125),"LT 20% indexed","LT 12.5%")))))</f>
        <v/>
      </c>
      <c r="Q122" s="22" t="str">
        <f aca="false">IF(P122="","",IF(P122="LT 20% indexed",MAX(0,O122),M122))</f>
        <v/>
      </c>
    </row>
    <row r="123" customFormat="false" ht="15" hidden="false" customHeight="true" outlineLevel="0" collapsed="false">
      <c r="A123" s="23"/>
      <c r="B123" s="23"/>
      <c r="C123" s="24"/>
      <c r="D123" s="24"/>
      <c r="E123" s="25"/>
      <c r="F123" s="25"/>
      <c r="G123" s="25"/>
      <c r="H123" s="25"/>
      <c r="I123" s="25"/>
      <c r="J123" s="20" t="str">
        <f aca="false">IF(OR(B123="",C123="",D123=""),"",DATEDIF(C123,D123,"m"))</f>
        <v/>
      </c>
      <c r="K123" s="21" t="str">
        <f aca="false">IF(OR(B123="",C123="",D123=""),"",IF(B123=Lists!$E$10,"Short",IF(D123&gt;EDATE(C123,IF(OR(B123=Lists!$E$5,B123=Lists!$E$6),12,24)),"Long","Short")))</f>
        <v/>
      </c>
      <c r="L123" s="20" t="str">
        <f aca="false">IF(K123="","",IF(AND(B123=Lists!$E$5,K123="Long",C123&lt;DATE(2018,2,1),N(I123)&gt;0),MAX(G123,MIN(I123,E123)),IF(AND(C123&lt;DATE(2001,4,1),N(I123)&gt;0,B123&lt;&gt;Lists!$E$5),I123,G123)))</f>
        <v/>
      </c>
      <c r="M123" s="20" t="str">
        <f aca="false">IF(K123="","",E123-F123-L123-H123)</f>
        <v/>
      </c>
      <c r="N123" s="20" t="str">
        <f aca="false">IF(K123="","",IF(AND(K123="Long",B123=Lists!$E$7,C123&lt;DATE(2024,7,23)),ROUND((L123+H123)*INDEX(Lists!$C$5:$C$30,MATCH(MIN(MAX(Lists!$B$5:$B$30),YEAR(D123)-IF(MONTH(D123)&lt;4,1,0)),Lists!$B$5:$B$30,0))/INDEX(Lists!$C$5:$C$30,MATCH(MAX(2001,YEAR(C123)-IF(MONTH(C123)&lt;4,1,0)),Lists!$B$5:$B$30,0)),0),""))</f>
        <v/>
      </c>
      <c r="O123" s="20" t="str">
        <f aca="false">IF(N123="","",E123-F123-N123)</f>
        <v/>
      </c>
      <c r="P123" s="21" t="str">
        <f aca="false">IF(K123="","",IF(K123="Short",IF(B123=Lists!$E$5,"ST 20%","ST slab"),IF(B123=Lists!$E$5,"LT 112A",IF(N123="","LT 12.5%",IF(AND(M123&gt;0,O123*0.2&lt;M123*0.125),"LT 20% indexed","LT 12.5%")))))</f>
        <v/>
      </c>
      <c r="Q123" s="22" t="str">
        <f aca="false">IF(P123="","",IF(P123="LT 20% indexed",MAX(0,O123),M123))</f>
        <v/>
      </c>
    </row>
    <row r="124" customFormat="false" ht="15" hidden="false" customHeight="true" outlineLevel="0" collapsed="false">
      <c r="A124" s="23"/>
      <c r="B124" s="23"/>
      <c r="C124" s="24"/>
      <c r="D124" s="24"/>
      <c r="E124" s="25"/>
      <c r="F124" s="25"/>
      <c r="G124" s="25"/>
      <c r="H124" s="25"/>
      <c r="I124" s="25"/>
      <c r="J124" s="20" t="str">
        <f aca="false">IF(OR(B124="",C124="",D124=""),"",DATEDIF(C124,D124,"m"))</f>
        <v/>
      </c>
      <c r="K124" s="21" t="str">
        <f aca="false">IF(OR(B124="",C124="",D124=""),"",IF(B124=Lists!$E$10,"Short",IF(D124&gt;EDATE(C124,IF(OR(B124=Lists!$E$5,B124=Lists!$E$6),12,24)),"Long","Short")))</f>
        <v/>
      </c>
      <c r="L124" s="20" t="str">
        <f aca="false">IF(K124="","",IF(AND(B124=Lists!$E$5,K124="Long",C124&lt;DATE(2018,2,1),N(I124)&gt;0),MAX(G124,MIN(I124,E124)),IF(AND(C124&lt;DATE(2001,4,1),N(I124)&gt;0,B124&lt;&gt;Lists!$E$5),I124,G124)))</f>
        <v/>
      </c>
      <c r="M124" s="20" t="str">
        <f aca="false">IF(K124="","",E124-F124-L124-H124)</f>
        <v/>
      </c>
      <c r="N124" s="20" t="str">
        <f aca="false">IF(K124="","",IF(AND(K124="Long",B124=Lists!$E$7,C124&lt;DATE(2024,7,23)),ROUND((L124+H124)*INDEX(Lists!$C$5:$C$30,MATCH(MIN(MAX(Lists!$B$5:$B$30),YEAR(D124)-IF(MONTH(D124)&lt;4,1,0)),Lists!$B$5:$B$30,0))/INDEX(Lists!$C$5:$C$30,MATCH(MAX(2001,YEAR(C124)-IF(MONTH(C124)&lt;4,1,0)),Lists!$B$5:$B$30,0)),0),""))</f>
        <v/>
      </c>
      <c r="O124" s="20" t="str">
        <f aca="false">IF(N124="","",E124-F124-N124)</f>
        <v/>
      </c>
      <c r="P124" s="21" t="str">
        <f aca="false">IF(K124="","",IF(K124="Short",IF(B124=Lists!$E$5,"ST 20%","ST slab"),IF(B124=Lists!$E$5,"LT 112A",IF(N124="","LT 12.5%",IF(AND(M124&gt;0,O124*0.2&lt;M124*0.125),"LT 20% indexed","LT 12.5%")))))</f>
        <v/>
      </c>
      <c r="Q124" s="22" t="str">
        <f aca="false">IF(P124="","",IF(P124="LT 20% indexed",MAX(0,O124),M124))</f>
        <v/>
      </c>
    </row>
    <row r="125" customFormat="false" ht="15" hidden="false" customHeight="true" outlineLevel="0" collapsed="false">
      <c r="A125" s="23"/>
      <c r="B125" s="23"/>
      <c r="C125" s="24"/>
      <c r="D125" s="24"/>
      <c r="E125" s="25"/>
      <c r="F125" s="25"/>
      <c r="G125" s="25"/>
      <c r="H125" s="25"/>
      <c r="I125" s="25"/>
      <c r="J125" s="20" t="str">
        <f aca="false">IF(OR(B125="",C125="",D125=""),"",DATEDIF(C125,D125,"m"))</f>
        <v/>
      </c>
      <c r="K125" s="21" t="str">
        <f aca="false">IF(OR(B125="",C125="",D125=""),"",IF(B125=Lists!$E$10,"Short",IF(D125&gt;EDATE(C125,IF(OR(B125=Lists!$E$5,B125=Lists!$E$6),12,24)),"Long","Short")))</f>
        <v/>
      </c>
      <c r="L125" s="20" t="str">
        <f aca="false">IF(K125="","",IF(AND(B125=Lists!$E$5,K125="Long",C125&lt;DATE(2018,2,1),N(I125)&gt;0),MAX(G125,MIN(I125,E125)),IF(AND(C125&lt;DATE(2001,4,1),N(I125)&gt;0,B125&lt;&gt;Lists!$E$5),I125,G125)))</f>
        <v/>
      </c>
      <c r="M125" s="20" t="str">
        <f aca="false">IF(K125="","",E125-F125-L125-H125)</f>
        <v/>
      </c>
      <c r="N125" s="20" t="str">
        <f aca="false">IF(K125="","",IF(AND(K125="Long",B125=Lists!$E$7,C125&lt;DATE(2024,7,23)),ROUND((L125+H125)*INDEX(Lists!$C$5:$C$30,MATCH(MIN(MAX(Lists!$B$5:$B$30),YEAR(D125)-IF(MONTH(D125)&lt;4,1,0)),Lists!$B$5:$B$30,0))/INDEX(Lists!$C$5:$C$30,MATCH(MAX(2001,YEAR(C125)-IF(MONTH(C125)&lt;4,1,0)),Lists!$B$5:$B$30,0)),0),""))</f>
        <v/>
      </c>
      <c r="O125" s="20" t="str">
        <f aca="false">IF(N125="","",E125-F125-N125)</f>
        <v/>
      </c>
      <c r="P125" s="21" t="str">
        <f aca="false">IF(K125="","",IF(K125="Short",IF(B125=Lists!$E$5,"ST 20%","ST slab"),IF(B125=Lists!$E$5,"LT 112A",IF(N125="","LT 12.5%",IF(AND(M125&gt;0,O125*0.2&lt;M125*0.125),"LT 20% indexed","LT 12.5%")))))</f>
        <v/>
      </c>
      <c r="Q125" s="22" t="str">
        <f aca="false">IF(P125="","",IF(P125="LT 20% indexed",MAX(0,O125),M125))</f>
        <v/>
      </c>
    </row>
    <row r="126" customFormat="false" ht="15" hidden="false" customHeight="true" outlineLevel="0" collapsed="false">
      <c r="A126" s="23"/>
      <c r="B126" s="23"/>
      <c r="C126" s="24"/>
      <c r="D126" s="24"/>
      <c r="E126" s="25"/>
      <c r="F126" s="25"/>
      <c r="G126" s="25"/>
      <c r="H126" s="25"/>
      <c r="I126" s="25"/>
      <c r="J126" s="20" t="str">
        <f aca="false">IF(OR(B126="",C126="",D126=""),"",DATEDIF(C126,D126,"m"))</f>
        <v/>
      </c>
      <c r="K126" s="21" t="str">
        <f aca="false">IF(OR(B126="",C126="",D126=""),"",IF(B126=Lists!$E$10,"Short",IF(D126&gt;EDATE(C126,IF(OR(B126=Lists!$E$5,B126=Lists!$E$6),12,24)),"Long","Short")))</f>
        <v/>
      </c>
      <c r="L126" s="20" t="str">
        <f aca="false">IF(K126="","",IF(AND(B126=Lists!$E$5,K126="Long",C126&lt;DATE(2018,2,1),N(I126)&gt;0),MAX(G126,MIN(I126,E126)),IF(AND(C126&lt;DATE(2001,4,1),N(I126)&gt;0,B126&lt;&gt;Lists!$E$5),I126,G126)))</f>
        <v/>
      </c>
      <c r="M126" s="20" t="str">
        <f aca="false">IF(K126="","",E126-F126-L126-H126)</f>
        <v/>
      </c>
      <c r="N126" s="20" t="str">
        <f aca="false">IF(K126="","",IF(AND(K126="Long",B126=Lists!$E$7,C126&lt;DATE(2024,7,23)),ROUND((L126+H126)*INDEX(Lists!$C$5:$C$30,MATCH(MIN(MAX(Lists!$B$5:$B$30),YEAR(D126)-IF(MONTH(D126)&lt;4,1,0)),Lists!$B$5:$B$30,0))/INDEX(Lists!$C$5:$C$30,MATCH(MAX(2001,YEAR(C126)-IF(MONTH(C126)&lt;4,1,0)),Lists!$B$5:$B$30,0)),0),""))</f>
        <v/>
      </c>
      <c r="O126" s="20" t="str">
        <f aca="false">IF(N126="","",E126-F126-N126)</f>
        <v/>
      </c>
      <c r="P126" s="21" t="str">
        <f aca="false">IF(K126="","",IF(K126="Short",IF(B126=Lists!$E$5,"ST 20%","ST slab"),IF(B126=Lists!$E$5,"LT 112A",IF(N126="","LT 12.5%",IF(AND(M126&gt;0,O126*0.2&lt;M126*0.125),"LT 20% indexed","LT 12.5%")))))</f>
        <v/>
      </c>
      <c r="Q126" s="22" t="str">
        <f aca="false">IF(P126="","",IF(P126="LT 20% indexed",MAX(0,O126),M126))</f>
        <v/>
      </c>
    </row>
    <row r="127" customFormat="false" ht="15" hidden="false" customHeight="true" outlineLevel="0" collapsed="false">
      <c r="A127" s="23"/>
      <c r="B127" s="23"/>
      <c r="C127" s="24"/>
      <c r="D127" s="24"/>
      <c r="E127" s="25"/>
      <c r="F127" s="25"/>
      <c r="G127" s="25"/>
      <c r="H127" s="25"/>
      <c r="I127" s="25"/>
      <c r="J127" s="20" t="str">
        <f aca="false">IF(OR(B127="",C127="",D127=""),"",DATEDIF(C127,D127,"m"))</f>
        <v/>
      </c>
      <c r="K127" s="21" t="str">
        <f aca="false">IF(OR(B127="",C127="",D127=""),"",IF(B127=Lists!$E$10,"Short",IF(D127&gt;EDATE(C127,IF(OR(B127=Lists!$E$5,B127=Lists!$E$6),12,24)),"Long","Short")))</f>
        <v/>
      </c>
      <c r="L127" s="20" t="str">
        <f aca="false">IF(K127="","",IF(AND(B127=Lists!$E$5,K127="Long",C127&lt;DATE(2018,2,1),N(I127)&gt;0),MAX(G127,MIN(I127,E127)),IF(AND(C127&lt;DATE(2001,4,1),N(I127)&gt;0,B127&lt;&gt;Lists!$E$5),I127,G127)))</f>
        <v/>
      </c>
      <c r="M127" s="20" t="str">
        <f aca="false">IF(K127="","",E127-F127-L127-H127)</f>
        <v/>
      </c>
      <c r="N127" s="20" t="str">
        <f aca="false">IF(K127="","",IF(AND(K127="Long",B127=Lists!$E$7,C127&lt;DATE(2024,7,23)),ROUND((L127+H127)*INDEX(Lists!$C$5:$C$30,MATCH(MIN(MAX(Lists!$B$5:$B$30),YEAR(D127)-IF(MONTH(D127)&lt;4,1,0)),Lists!$B$5:$B$30,0))/INDEX(Lists!$C$5:$C$30,MATCH(MAX(2001,YEAR(C127)-IF(MONTH(C127)&lt;4,1,0)),Lists!$B$5:$B$30,0)),0),""))</f>
        <v/>
      </c>
      <c r="O127" s="20" t="str">
        <f aca="false">IF(N127="","",E127-F127-N127)</f>
        <v/>
      </c>
      <c r="P127" s="21" t="str">
        <f aca="false">IF(K127="","",IF(K127="Short",IF(B127=Lists!$E$5,"ST 20%","ST slab"),IF(B127=Lists!$E$5,"LT 112A",IF(N127="","LT 12.5%",IF(AND(M127&gt;0,O127*0.2&lt;M127*0.125),"LT 20% indexed","LT 12.5%")))))</f>
        <v/>
      </c>
      <c r="Q127" s="22" t="str">
        <f aca="false">IF(P127="","",IF(P127="LT 20% indexed",MAX(0,O127),M127))</f>
        <v/>
      </c>
    </row>
    <row r="128" customFormat="false" ht="15" hidden="false" customHeight="true" outlineLevel="0" collapsed="false">
      <c r="A128" s="23"/>
      <c r="B128" s="23"/>
      <c r="C128" s="24"/>
      <c r="D128" s="24"/>
      <c r="E128" s="25"/>
      <c r="F128" s="25"/>
      <c r="G128" s="25"/>
      <c r="H128" s="25"/>
      <c r="I128" s="25"/>
      <c r="J128" s="20" t="str">
        <f aca="false">IF(OR(B128="",C128="",D128=""),"",DATEDIF(C128,D128,"m"))</f>
        <v/>
      </c>
      <c r="K128" s="21" t="str">
        <f aca="false">IF(OR(B128="",C128="",D128=""),"",IF(B128=Lists!$E$10,"Short",IF(D128&gt;EDATE(C128,IF(OR(B128=Lists!$E$5,B128=Lists!$E$6),12,24)),"Long","Short")))</f>
        <v/>
      </c>
      <c r="L128" s="20" t="str">
        <f aca="false">IF(K128="","",IF(AND(B128=Lists!$E$5,K128="Long",C128&lt;DATE(2018,2,1),N(I128)&gt;0),MAX(G128,MIN(I128,E128)),IF(AND(C128&lt;DATE(2001,4,1),N(I128)&gt;0,B128&lt;&gt;Lists!$E$5),I128,G128)))</f>
        <v/>
      </c>
      <c r="M128" s="20" t="str">
        <f aca="false">IF(K128="","",E128-F128-L128-H128)</f>
        <v/>
      </c>
      <c r="N128" s="20" t="str">
        <f aca="false">IF(K128="","",IF(AND(K128="Long",B128=Lists!$E$7,C128&lt;DATE(2024,7,23)),ROUND((L128+H128)*INDEX(Lists!$C$5:$C$30,MATCH(MIN(MAX(Lists!$B$5:$B$30),YEAR(D128)-IF(MONTH(D128)&lt;4,1,0)),Lists!$B$5:$B$30,0))/INDEX(Lists!$C$5:$C$30,MATCH(MAX(2001,YEAR(C128)-IF(MONTH(C128)&lt;4,1,0)),Lists!$B$5:$B$30,0)),0),""))</f>
        <v/>
      </c>
      <c r="O128" s="20" t="str">
        <f aca="false">IF(N128="","",E128-F128-N128)</f>
        <v/>
      </c>
      <c r="P128" s="21" t="str">
        <f aca="false">IF(K128="","",IF(K128="Short",IF(B128=Lists!$E$5,"ST 20%","ST slab"),IF(B128=Lists!$E$5,"LT 112A",IF(N128="","LT 12.5%",IF(AND(M128&gt;0,O128*0.2&lt;M128*0.125),"LT 20% indexed","LT 12.5%")))))</f>
        <v/>
      </c>
      <c r="Q128" s="22" t="str">
        <f aca="false">IF(P128="","",IF(P128="LT 20% indexed",MAX(0,O128),M128))</f>
        <v/>
      </c>
    </row>
    <row r="129" customFormat="false" ht="15" hidden="false" customHeight="true" outlineLevel="0" collapsed="false">
      <c r="A129" s="23"/>
      <c r="B129" s="23"/>
      <c r="C129" s="24"/>
      <c r="D129" s="24"/>
      <c r="E129" s="25"/>
      <c r="F129" s="25"/>
      <c r="G129" s="25"/>
      <c r="H129" s="25"/>
      <c r="I129" s="25"/>
      <c r="J129" s="20" t="str">
        <f aca="false">IF(OR(B129="",C129="",D129=""),"",DATEDIF(C129,D129,"m"))</f>
        <v/>
      </c>
      <c r="K129" s="21" t="str">
        <f aca="false">IF(OR(B129="",C129="",D129=""),"",IF(B129=Lists!$E$10,"Short",IF(D129&gt;EDATE(C129,IF(OR(B129=Lists!$E$5,B129=Lists!$E$6),12,24)),"Long","Short")))</f>
        <v/>
      </c>
      <c r="L129" s="20" t="str">
        <f aca="false">IF(K129="","",IF(AND(B129=Lists!$E$5,K129="Long",C129&lt;DATE(2018,2,1),N(I129)&gt;0),MAX(G129,MIN(I129,E129)),IF(AND(C129&lt;DATE(2001,4,1),N(I129)&gt;0,B129&lt;&gt;Lists!$E$5),I129,G129)))</f>
        <v/>
      </c>
      <c r="M129" s="20" t="str">
        <f aca="false">IF(K129="","",E129-F129-L129-H129)</f>
        <v/>
      </c>
      <c r="N129" s="20" t="str">
        <f aca="false">IF(K129="","",IF(AND(K129="Long",B129=Lists!$E$7,C129&lt;DATE(2024,7,23)),ROUND((L129+H129)*INDEX(Lists!$C$5:$C$30,MATCH(MIN(MAX(Lists!$B$5:$B$30),YEAR(D129)-IF(MONTH(D129)&lt;4,1,0)),Lists!$B$5:$B$30,0))/INDEX(Lists!$C$5:$C$30,MATCH(MAX(2001,YEAR(C129)-IF(MONTH(C129)&lt;4,1,0)),Lists!$B$5:$B$30,0)),0),""))</f>
        <v/>
      </c>
      <c r="O129" s="20" t="str">
        <f aca="false">IF(N129="","",E129-F129-N129)</f>
        <v/>
      </c>
      <c r="P129" s="21" t="str">
        <f aca="false">IF(K129="","",IF(K129="Short",IF(B129=Lists!$E$5,"ST 20%","ST slab"),IF(B129=Lists!$E$5,"LT 112A",IF(N129="","LT 12.5%",IF(AND(M129&gt;0,O129*0.2&lt;M129*0.125),"LT 20% indexed","LT 12.5%")))))</f>
        <v/>
      </c>
      <c r="Q129" s="22" t="str">
        <f aca="false">IF(P129="","",IF(P129="LT 20% indexed",MAX(0,O129),M129))</f>
        <v/>
      </c>
    </row>
    <row r="130" customFormat="false" ht="15" hidden="false" customHeight="true" outlineLevel="0" collapsed="false">
      <c r="A130" s="23"/>
      <c r="B130" s="23"/>
      <c r="C130" s="24"/>
      <c r="D130" s="24"/>
      <c r="E130" s="25"/>
      <c r="F130" s="25"/>
      <c r="G130" s="25"/>
      <c r="H130" s="25"/>
      <c r="I130" s="25"/>
      <c r="J130" s="20" t="str">
        <f aca="false">IF(OR(B130="",C130="",D130=""),"",DATEDIF(C130,D130,"m"))</f>
        <v/>
      </c>
      <c r="K130" s="21" t="str">
        <f aca="false">IF(OR(B130="",C130="",D130=""),"",IF(B130=Lists!$E$10,"Short",IF(D130&gt;EDATE(C130,IF(OR(B130=Lists!$E$5,B130=Lists!$E$6),12,24)),"Long","Short")))</f>
        <v/>
      </c>
      <c r="L130" s="20" t="str">
        <f aca="false">IF(K130="","",IF(AND(B130=Lists!$E$5,K130="Long",C130&lt;DATE(2018,2,1),N(I130)&gt;0),MAX(G130,MIN(I130,E130)),IF(AND(C130&lt;DATE(2001,4,1),N(I130)&gt;0,B130&lt;&gt;Lists!$E$5),I130,G130)))</f>
        <v/>
      </c>
      <c r="M130" s="20" t="str">
        <f aca="false">IF(K130="","",E130-F130-L130-H130)</f>
        <v/>
      </c>
      <c r="N130" s="20" t="str">
        <f aca="false">IF(K130="","",IF(AND(K130="Long",B130=Lists!$E$7,C130&lt;DATE(2024,7,23)),ROUND((L130+H130)*INDEX(Lists!$C$5:$C$30,MATCH(MIN(MAX(Lists!$B$5:$B$30),YEAR(D130)-IF(MONTH(D130)&lt;4,1,0)),Lists!$B$5:$B$30,0))/INDEX(Lists!$C$5:$C$30,MATCH(MAX(2001,YEAR(C130)-IF(MONTH(C130)&lt;4,1,0)),Lists!$B$5:$B$30,0)),0),""))</f>
        <v/>
      </c>
      <c r="O130" s="20" t="str">
        <f aca="false">IF(N130="","",E130-F130-N130)</f>
        <v/>
      </c>
      <c r="P130" s="21" t="str">
        <f aca="false">IF(K130="","",IF(K130="Short",IF(B130=Lists!$E$5,"ST 20%","ST slab"),IF(B130=Lists!$E$5,"LT 112A",IF(N130="","LT 12.5%",IF(AND(M130&gt;0,O130*0.2&lt;M130*0.125),"LT 20% indexed","LT 12.5%")))))</f>
        <v/>
      </c>
      <c r="Q130" s="22" t="str">
        <f aca="false">IF(P130="","",IF(P130="LT 20% indexed",MAX(0,O130),M130))</f>
        <v/>
      </c>
    </row>
    <row r="131" customFormat="false" ht="15" hidden="false" customHeight="true" outlineLevel="0" collapsed="false">
      <c r="A131" s="23"/>
      <c r="B131" s="23"/>
      <c r="C131" s="24"/>
      <c r="D131" s="24"/>
      <c r="E131" s="25"/>
      <c r="F131" s="25"/>
      <c r="G131" s="25"/>
      <c r="H131" s="25"/>
      <c r="I131" s="25"/>
      <c r="J131" s="20" t="str">
        <f aca="false">IF(OR(B131="",C131="",D131=""),"",DATEDIF(C131,D131,"m"))</f>
        <v/>
      </c>
      <c r="K131" s="21" t="str">
        <f aca="false">IF(OR(B131="",C131="",D131=""),"",IF(B131=Lists!$E$10,"Short",IF(D131&gt;EDATE(C131,IF(OR(B131=Lists!$E$5,B131=Lists!$E$6),12,24)),"Long","Short")))</f>
        <v/>
      </c>
      <c r="L131" s="20" t="str">
        <f aca="false">IF(K131="","",IF(AND(B131=Lists!$E$5,K131="Long",C131&lt;DATE(2018,2,1),N(I131)&gt;0),MAX(G131,MIN(I131,E131)),IF(AND(C131&lt;DATE(2001,4,1),N(I131)&gt;0,B131&lt;&gt;Lists!$E$5),I131,G131)))</f>
        <v/>
      </c>
      <c r="M131" s="20" t="str">
        <f aca="false">IF(K131="","",E131-F131-L131-H131)</f>
        <v/>
      </c>
      <c r="N131" s="20" t="str">
        <f aca="false">IF(K131="","",IF(AND(K131="Long",B131=Lists!$E$7,C131&lt;DATE(2024,7,23)),ROUND((L131+H131)*INDEX(Lists!$C$5:$C$30,MATCH(MIN(MAX(Lists!$B$5:$B$30),YEAR(D131)-IF(MONTH(D131)&lt;4,1,0)),Lists!$B$5:$B$30,0))/INDEX(Lists!$C$5:$C$30,MATCH(MAX(2001,YEAR(C131)-IF(MONTH(C131)&lt;4,1,0)),Lists!$B$5:$B$30,0)),0),""))</f>
        <v/>
      </c>
      <c r="O131" s="20" t="str">
        <f aca="false">IF(N131="","",E131-F131-N131)</f>
        <v/>
      </c>
      <c r="P131" s="21" t="str">
        <f aca="false">IF(K131="","",IF(K131="Short",IF(B131=Lists!$E$5,"ST 20%","ST slab"),IF(B131=Lists!$E$5,"LT 112A",IF(N131="","LT 12.5%",IF(AND(M131&gt;0,O131*0.2&lt;M131*0.125),"LT 20% indexed","LT 12.5%")))))</f>
        <v/>
      </c>
      <c r="Q131" s="22" t="str">
        <f aca="false">IF(P131="","",IF(P131="LT 20% indexed",MAX(0,O131),M131))</f>
        <v/>
      </c>
    </row>
    <row r="132" customFormat="false" ht="15" hidden="false" customHeight="true" outlineLevel="0" collapsed="false">
      <c r="A132" s="23"/>
      <c r="B132" s="23"/>
      <c r="C132" s="24"/>
      <c r="D132" s="24"/>
      <c r="E132" s="25"/>
      <c r="F132" s="25"/>
      <c r="G132" s="25"/>
      <c r="H132" s="25"/>
      <c r="I132" s="25"/>
      <c r="J132" s="20" t="str">
        <f aca="false">IF(OR(B132="",C132="",D132=""),"",DATEDIF(C132,D132,"m"))</f>
        <v/>
      </c>
      <c r="K132" s="21" t="str">
        <f aca="false">IF(OR(B132="",C132="",D132=""),"",IF(B132=Lists!$E$10,"Short",IF(D132&gt;EDATE(C132,IF(OR(B132=Lists!$E$5,B132=Lists!$E$6),12,24)),"Long","Short")))</f>
        <v/>
      </c>
      <c r="L132" s="20" t="str">
        <f aca="false">IF(K132="","",IF(AND(B132=Lists!$E$5,K132="Long",C132&lt;DATE(2018,2,1),N(I132)&gt;0),MAX(G132,MIN(I132,E132)),IF(AND(C132&lt;DATE(2001,4,1),N(I132)&gt;0,B132&lt;&gt;Lists!$E$5),I132,G132)))</f>
        <v/>
      </c>
      <c r="M132" s="20" t="str">
        <f aca="false">IF(K132="","",E132-F132-L132-H132)</f>
        <v/>
      </c>
      <c r="N132" s="20" t="str">
        <f aca="false">IF(K132="","",IF(AND(K132="Long",B132=Lists!$E$7,C132&lt;DATE(2024,7,23)),ROUND((L132+H132)*INDEX(Lists!$C$5:$C$30,MATCH(MIN(MAX(Lists!$B$5:$B$30),YEAR(D132)-IF(MONTH(D132)&lt;4,1,0)),Lists!$B$5:$B$30,0))/INDEX(Lists!$C$5:$C$30,MATCH(MAX(2001,YEAR(C132)-IF(MONTH(C132)&lt;4,1,0)),Lists!$B$5:$B$30,0)),0),""))</f>
        <v/>
      </c>
      <c r="O132" s="20" t="str">
        <f aca="false">IF(N132="","",E132-F132-N132)</f>
        <v/>
      </c>
      <c r="P132" s="21" t="str">
        <f aca="false">IF(K132="","",IF(K132="Short",IF(B132=Lists!$E$5,"ST 20%","ST slab"),IF(B132=Lists!$E$5,"LT 112A",IF(N132="","LT 12.5%",IF(AND(M132&gt;0,O132*0.2&lt;M132*0.125),"LT 20% indexed","LT 12.5%")))))</f>
        <v/>
      </c>
      <c r="Q132" s="22" t="str">
        <f aca="false">IF(P132="","",IF(P132="LT 20% indexed",MAX(0,O132),M132))</f>
        <v/>
      </c>
    </row>
    <row r="133" customFormat="false" ht="15" hidden="false" customHeight="true" outlineLevel="0" collapsed="false">
      <c r="A133" s="23"/>
      <c r="B133" s="23"/>
      <c r="C133" s="24"/>
      <c r="D133" s="24"/>
      <c r="E133" s="25"/>
      <c r="F133" s="25"/>
      <c r="G133" s="25"/>
      <c r="H133" s="25"/>
      <c r="I133" s="25"/>
      <c r="J133" s="20" t="str">
        <f aca="false">IF(OR(B133="",C133="",D133=""),"",DATEDIF(C133,D133,"m"))</f>
        <v/>
      </c>
      <c r="K133" s="21" t="str">
        <f aca="false">IF(OR(B133="",C133="",D133=""),"",IF(B133=Lists!$E$10,"Short",IF(D133&gt;EDATE(C133,IF(OR(B133=Lists!$E$5,B133=Lists!$E$6),12,24)),"Long","Short")))</f>
        <v/>
      </c>
      <c r="L133" s="20" t="str">
        <f aca="false">IF(K133="","",IF(AND(B133=Lists!$E$5,K133="Long",C133&lt;DATE(2018,2,1),N(I133)&gt;0),MAX(G133,MIN(I133,E133)),IF(AND(C133&lt;DATE(2001,4,1),N(I133)&gt;0,B133&lt;&gt;Lists!$E$5),I133,G133)))</f>
        <v/>
      </c>
      <c r="M133" s="20" t="str">
        <f aca="false">IF(K133="","",E133-F133-L133-H133)</f>
        <v/>
      </c>
      <c r="N133" s="20" t="str">
        <f aca="false">IF(K133="","",IF(AND(K133="Long",B133=Lists!$E$7,C133&lt;DATE(2024,7,23)),ROUND((L133+H133)*INDEX(Lists!$C$5:$C$30,MATCH(MIN(MAX(Lists!$B$5:$B$30),YEAR(D133)-IF(MONTH(D133)&lt;4,1,0)),Lists!$B$5:$B$30,0))/INDEX(Lists!$C$5:$C$30,MATCH(MAX(2001,YEAR(C133)-IF(MONTH(C133)&lt;4,1,0)),Lists!$B$5:$B$30,0)),0),""))</f>
        <v/>
      </c>
      <c r="O133" s="20" t="str">
        <f aca="false">IF(N133="","",E133-F133-N133)</f>
        <v/>
      </c>
      <c r="P133" s="21" t="str">
        <f aca="false">IF(K133="","",IF(K133="Short",IF(B133=Lists!$E$5,"ST 20%","ST slab"),IF(B133=Lists!$E$5,"LT 112A",IF(N133="","LT 12.5%",IF(AND(M133&gt;0,O133*0.2&lt;M133*0.125),"LT 20% indexed","LT 12.5%")))))</f>
        <v/>
      </c>
      <c r="Q133" s="22" t="str">
        <f aca="false">IF(P133="","",IF(P133="LT 20% indexed",MAX(0,O133),M133))</f>
        <v/>
      </c>
    </row>
    <row r="134" customFormat="false" ht="15" hidden="false" customHeight="true" outlineLevel="0" collapsed="false">
      <c r="A134" s="23"/>
      <c r="B134" s="23"/>
      <c r="C134" s="24"/>
      <c r="D134" s="24"/>
      <c r="E134" s="25"/>
      <c r="F134" s="25"/>
      <c r="G134" s="25"/>
      <c r="H134" s="25"/>
      <c r="I134" s="25"/>
      <c r="J134" s="20" t="str">
        <f aca="false">IF(OR(B134="",C134="",D134=""),"",DATEDIF(C134,D134,"m"))</f>
        <v/>
      </c>
      <c r="K134" s="21" t="str">
        <f aca="false">IF(OR(B134="",C134="",D134=""),"",IF(B134=Lists!$E$10,"Short",IF(D134&gt;EDATE(C134,IF(OR(B134=Lists!$E$5,B134=Lists!$E$6),12,24)),"Long","Short")))</f>
        <v/>
      </c>
      <c r="L134" s="20" t="str">
        <f aca="false">IF(K134="","",IF(AND(B134=Lists!$E$5,K134="Long",C134&lt;DATE(2018,2,1),N(I134)&gt;0),MAX(G134,MIN(I134,E134)),IF(AND(C134&lt;DATE(2001,4,1),N(I134)&gt;0,B134&lt;&gt;Lists!$E$5),I134,G134)))</f>
        <v/>
      </c>
      <c r="M134" s="20" t="str">
        <f aca="false">IF(K134="","",E134-F134-L134-H134)</f>
        <v/>
      </c>
      <c r="N134" s="20" t="str">
        <f aca="false">IF(K134="","",IF(AND(K134="Long",B134=Lists!$E$7,C134&lt;DATE(2024,7,23)),ROUND((L134+H134)*INDEX(Lists!$C$5:$C$30,MATCH(MIN(MAX(Lists!$B$5:$B$30),YEAR(D134)-IF(MONTH(D134)&lt;4,1,0)),Lists!$B$5:$B$30,0))/INDEX(Lists!$C$5:$C$30,MATCH(MAX(2001,YEAR(C134)-IF(MONTH(C134)&lt;4,1,0)),Lists!$B$5:$B$30,0)),0),""))</f>
        <v/>
      </c>
      <c r="O134" s="20" t="str">
        <f aca="false">IF(N134="","",E134-F134-N134)</f>
        <v/>
      </c>
      <c r="P134" s="21" t="str">
        <f aca="false">IF(K134="","",IF(K134="Short",IF(B134=Lists!$E$5,"ST 20%","ST slab"),IF(B134=Lists!$E$5,"LT 112A",IF(N134="","LT 12.5%",IF(AND(M134&gt;0,O134*0.2&lt;M134*0.125),"LT 20% indexed","LT 12.5%")))))</f>
        <v/>
      </c>
      <c r="Q134" s="22" t="str">
        <f aca="false">IF(P134="","",IF(P134="LT 20% indexed",MAX(0,O134),M134))</f>
        <v/>
      </c>
    </row>
    <row r="135" customFormat="false" ht="15" hidden="false" customHeight="true" outlineLevel="0" collapsed="false">
      <c r="A135" s="23"/>
      <c r="B135" s="23"/>
      <c r="C135" s="24"/>
      <c r="D135" s="24"/>
      <c r="E135" s="25"/>
      <c r="F135" s="25"/>
      <c r="G135" s="25"/>
      <c r="H135" s="25"/>
      <c r="I135" s="25"/>
      <c r="J135" s="20" t="str">
        <f aca="false">IF(OR(B135="",C135="",D135=""),"",DATEDIF(C135,D135,"m"))</f>
        <v/>
      </c>
      <c r="K135" s="21" t="str">
        <f aca="false">IF(OR(B135="",C135="",D135=""),"",IF(B135=Lists!$E$10,"Short",IF(D135&gt;EDATE(C135,IF(OR(B135=Lists!$E$5,B135=Lists!$E$6),12,24)),"Long","Short")))</f>
        <v/>
      </c>
      <c r="L135" s="20" t="str">
        <f aca="false">IF(K135="","",IF(AND(B135=Lists!$E$5,K135="Long",C135&lt;DATE(2018,2,1),N(I135)&gt;0),MAX(G135,MIN(I135,E135)),IF(AND(C135&lt;DATE(2001,4,1),N(I135)&gt;0,B135&lt;&gt;Lists!$E$5),I135,G135)))</f>
        <v/>
      </c>
      <c r="M135" s="20" t="str">
        <f aca="false">IF(K135="","",E135-F135-L135-H135)</f>
        <v/>
      </c>
      <c r="N135" s="20" t="str">
        <f aca="false">IF(K135="","",IF(AND(K135="Long",B135=Lists!$E$7,C135&lt;DATE(2024,7,23)),ROUND((L135+H135)*INDEX(Lists!$C$5:$C$30,MATCH(MIN(MAX(Lists!$B$5:$B$30),YEAR(D135)-IF(MONTH(D135)&lt;4,1,0)),Lists!$B$5:$B$30,0))/INDEX(Lists!$C$5:$C$30,MATCH(MAX(2001,YEAR(C135)-IF(MONTH(C135)&lt;4,1,0)),Lists!$B$5:$B$30,0)),0),""))</f>
        <v/>
      </c>
      <c r="O135" s="20" t="str">
        <f aca="false">IF(N135="","",E135-F135-N135)</f>
        <v/>
      </c>
      <c r="P135" s="21" t="str">
        <f aca="false">IF(K135="","",IF(K135="Short",IF(B135=Lists!$E$5,"ST 20%","ST slab"),IF(B135=Lists!$E$5,"LT 112A",IF(N135="","LT 12.5%",IF(AND(M135&gt;0,O135*0.2&lt;M135*0.125),"LT 20% indexed","LT 12.5%")))))</f>
        <v/>
      </c>
      <c r="Q135" s="22" t="str">
        <f aca="false">IF(P135="","",IF(P135="LT 20% indexed",MAX(0,O135),M135))</f>
        <v/>
      </c>
    </row>
    <row r="136" customFormat="false" ht="15" hidden="false" customHeight="true" outlineLevel="0" collapsed="false">
      <c r="A136" s="23"/>
      <c r="B136" s="23"/>
      <c r="C136" s="24"/>
      <c r="D136" s="24"/>
      <c r="E136" s="25"/>
      <c r="F136" s="25"/>
      <c r="G136" s="25"/>
      <c r="H136" s="25"/>
      <c r="I136" s="25"/>
      <c r="J136" s="20" t="str">
        <f aca="false">IF(OR(B136="",C136="",D136=""),"",DATEDIF(C136,D136,"m"))</f>
        <v/>
      </c>
      <c r="K136" s="21" t="str">
        <f aca="false">IF(OR(B136="",C136="",D136=""),"",IF(B136=Lists!$E$10,"Short",IF(D136&gt;EDATE(C136,IF(OR(B136=Lists!$E$5,B136=Lists!$E$6),12,24)),"Long","Short")))</f>
        <v/>
      </c>
      <c r="L136" s="20" t="str">
        <f aca="false">IF(K136="","",IF(AND(B136=Lists!$E$5,K136="Long",C136&lt;DATE(2018,2,1),N(I136)&gt;0),MAX(G136,MIN(I136,E136)),IF(AND(C136&lt;DATE(2001,4,1),N(I136)&gt;0,B136&lt;&gt;Lists!$E$5),I136,G136)))</f>
        <v/>
      </c>
      <c r="M136" s="20" t="str">
        <f aca="false">IF(K136="","",E136-F136-L136-H136)</f>
        <v/>
      </c>
      <c r="N136" s="20" t="str">
        <f aca="false">IF(K136="","",IF(AND(K136="Long",B136=Lists!$E$7,C136&lt;DATE(2024,7,23)),ROUND((L136+H136)*INDEX(Lists!$C$5:$C$30,MATCH(MIN(MAX(Lists!$B$5:$B$30),YEAR(D136)-IF(MONTH(D136)&lt;4,1,0)),Lists!$B$5:$B$30,0))/INDEX(Lists!$C$5:$C$30,MATCH(MAX(2001,YEAR(C136)-IF(MONTH(C136)&lt;4,1,0)),Lists!$B$5:$B$30,0)),0),""))</f>
        <v/>
      </c>
      <c r="O136" s="20" t="str">
        <f aca="false">IF(N136="","",E136-F136-N136)</f>
        <v/>
      </c>
      <c r="P136" s="21" t="str">
        <f aca="false">IF(K136="","",IF(K136="Short",IF(B136=Lists!$E$5,"ST 20%","ST slab"),IF(B136=Lists!$E$5,"LT 112A",IF(N136="","LT 12.5%",IF(AND(M136&gt;0,O136*0.2&lt;M136*0.125),"LT 20% indexed","LT 12.5%")))))</f>
        <v/>
      </c>
      <c r="Q136" s="22" t="str">
        <f aca="false">IF(P136="","",IF(P136="LT 20% indexed",MAX(0,O136),M136))</f>
        <v/>
      </c>
    </row>
    <row r="137" customFormat="false" ht="15" hidden="false" customHeight="true" outlineLevel="0" collapsed="false">
      <c r="A137" s="23"/>
      <c r="B137" s="23"/>
      <c r="C137" s="24"/>
      <c r="D137" s="24"/>
      <c r="E137" s="25"/>
      <c r="F137" s="25"/>
      <c r="G137" s="25"/>
      <c r="H137" s="25"/>
      <c r="I137" s="25"/>
      <c r="J137" s="20" t="str">
        <f aca="false">IF(OR(B137="",C137="",D137=""),"",DATEDIF(C137,D137,"m"))</f>
        <v/>
      </c>
      <c r="K137" s="21" t="str">
        <f aca="false">IF(OR(B137="",C137="",D137=""),"",IF(B137=Lists!$E$10,"Short",IF(D137&gt;EDATE(C137,IF(OR(B137=Lists!$E$5,B137=Lists!$E$6),12,24)),"Long","Short")))</f>
        <v/>
      </c>
      <c r="L137" s="20" t="str">
        <f aca="false">IF(K137="","",IF(AND(B137=Lists!$E$5,K137="Long",C137&lt;DATE(2018,2,1),N(I137)&gt;0),MAX(G137,MIN(I137,E137)),IF(AND(C137&lt;DATE(2001,4,1),N(I137)&gt;0,B137&lt;&gt;Lists!$E$5),I137,G137)))</f>
        <v/>
      </c>
      <c r="M137" s="20" t="str">
        <f aca="false">IF(K137="","",E137-F137-L137-H137)</f>
        <v/>
      </c>
      <c r="N137" s="20" t="str">
        <f aca="false">IF(K137="","",IF(AND(K137="Long",B137=Lists!$E$7,C137&lt;DATE(2024,7,23)),ROUND((L137+H137)*INDEX(Lists!$C$5:$C$30,MATCH(MIN(MAX(Lists!$B$5:$B$30),YEAR(D137)-IF(MONTH(D137)&lt;4,1,0)),Lists!$B$5:$B$30,0))/INDEX(Lists!$C$5:$C$30,MATCH(MAX(2001,YEAR(C137)-IF(MONTH(C137)&lt;4,1,0)),Lists!$B$5:$B$30,0)),0),""))</f>
        <v/>
      </c>
      <c r="O137" s="20" t="str">
        <f aca="false">IF(N137="","",E137-F137-N137)</f>
        <v/>
      </c>
      <c r="P137" s="21" t="str">
        <f aca="false">IF(K137="","",IF(K137="Short",IF(B137=Lists!$E$5,"ST 20%","ST slab"),IF(B137=Lists!$E$5,"LT 112A",IF(N137="","LT 12.5%",IF(AND(M137&gt;0,O137*0.2&lt;M137*0.125),"LT 20% indexed","LT 12.5%")))))</f>
        <v/>
      </c>
      <c r="Q137" s="22" t="str">
        <f aca="false">IF(P137="","",IF(P137="LT 20% indexed",MAX(0,O137),M137))</f>
        <v/>
      </c>
    </row>
    <row r="138" customFormat="false" ht="15" hidden="false" customHeight="true" outlineLevel="0" collapsed="false">
      <c r="A138" s="23"/>
      <c r="B138" s="23"/>
      <c r="C138" s="24"/>
      <c r="D138" s="24"/>
      <c r="E138" s="25"/>
      <c r="F138" s="25"/>
      <c r="G138" s="25"/>
      <c r="H138" s="25"/>
      <c r="I138" s="25"/>
      <c r="J138" s="20" t="str">
        <f aca="false">IF(OR(B138="",C138="",D138=""),"",DATEDIF(C138,D138,"m"))</f>
        <v/>
      </c>
      <c r="K138" s="21" t="str">
        <f aca="false">IF(OR(B138="",C138="",D138=""),"",IF(B138=Lists!$E$10,"Short",IF(D138&gt;EDATE(C138,IF(OR(B138=Lists!$E$5,B138=Lists!$E$6),12,24)),"Long","Short")))</f>
        <v/>
      </c>
      <c r="L138" s="20" t="str">
        <f aca="false">IF(K138="","",IF(AND(B138=Lists!$E$5,K138="Long",C138&lt;DATE(2018,2,1),N(I138)&gt;0),MAX(G138,MIN(I138,E138)),IF(AND(C138&lt;DATE(2001,4,1),N(I138)&gt;0,B138&lt;&gt;Lists!$E$5),I138,G138)))</f>
        <v/>
      </c>
      <c r="M138" s="20" t="str">
        <f aca="false">IF(K138="","",E138-F138-L138-H138)</f>
        <v/>
      </c>
      <c r="N138" s="20" t="str">
        <f aca="false">IF(K138="","",IF(AND(K138="Long",B138=Lists!$E$7,C138&lt;DATE(2024,7,23)),ROUND((L138+H138)*INDEX(Lists!$C$5:$C$30,MATCH(MIN(MAX(Lists!$B$5:$B$30),YEAR(D138)-IF(MONTH(D138)&lt;4,1,0)),Lists!$B$5:$B$30,0))/INDEX(Lists!$C$5:$C$30,MATCH(MAX(2001,YEAR(C138)-IF(MONTH(C138)&lt;4,1,0)),Lists!$B$5:$B$30,0)),0),""))</f>
        <v/>
      </c>
      <c r="O138" s="20" t="str">
        <f aca="false">IF(N138="","",E138-F138-N138)</f>
        <v/>
      </c>
      <c r="P138" s="21" t="str">
        <f aca="false">IF(K138="","",IF(K138="Short",IF(B138=Lists!$E$5,"ST 20%","ST slab"),IF(B138=Lists!$E$5,"LT 112A",IF(N138="","LT 12.5%",IF(AND(M138&gt;0,O138*0.2&lt;M138*0.125),"LT 20% indexed","LT 12.5%")))))</f>
        <v/>
      </c>
      <c r="Q138" s="22" t="str">
        <f aca="false">IF(P138="","",IF(P138="LT 20% indexed",MAX(0,O138),M138))</f>
        <v/>
      </c>
    </row>
    <row r="139" customFormat="false" ht="15" hidden="false" customHeight="true" outlineLevel="0" collapsed="false">
      <c r="A139" s="23"/>
      <c r="B139" s="23"/>
      <c r="C139" s="24"/>
      <c r="D139" s="24"/>
      <c r="E139" s="25"/>
      <c r="F139" s="25"/>
      <c r="G139" s="25"/>
      <c r="H139" s="25"/>
      <c r="I139" s="25"/>
      <c r="J139" s="20" t="str">
        <f aca="false">IF(OR(B139="",C139="",D139=""),"",DATEDIF(C139,D139,"m"))</f>
        <v/>
      </c>
      <c r="K139" s="21" t="str">
        <f aca="false">IF(OR(B139="",C139="",D139=""),"",IF(B139=Lists!$E$10,"Short",IF(D139&gt;EDATE(C139,IF(OR(B139=Lists!$E$5,B139=Lists!$E$6),12,24)),"Long","Short")))</f>
        <v/>
      </c>
      <c r="L139" s="20" t="str">
        <f aca="false">IF(K139="","",IF(AND(B139=Lists!$E$5,K139="Long",C139&lt;DATE(2018,2,1),N(I139)&gt;0),MAX(G139,MIN(I139,E139)),IF(AND(C139&lt;DATE(2001,4,1),N(I139)&gt;0,B139&lt;&gt;Lists!$E$5),I139,G139)))</f>
        <v/>
      </c>
      <c r="M139" s="20" t="str">
        <f aca="false">IF(K139="","",E139-F139-L139-H139)</f>
        <v/>
      </c>
      <c r="N139" s="20" t="str">
        <f aca="false">IF(K139="","",IF(AND(K139="Long",B139=Lists!$E$7,C139&lt;DATE(2024,7,23)),ROUND((L139+H139)*INDEX(Lists!$C$5:$C$30,MATCH(MIN(MAX(Lists!$B$5:$B$30),YEAR(D139)-IF(MONTH(D139)&lt;4,1,0)),Lists!$B$5:$B$30,0))/INDEX(Lists!$C$5:$C$30,MATCH(MAX(2001,YEAR(C139)-IF(MONTH(C139)&lt;4,1,0)),Lists!$B$5:$B$30,0)),0),""))</f>
        <v/>
      </c>
      <c r="O139" s="20" t="str">
        <f aca="false">IF(N139="","",E139-F139-N139)</f>
        <v/>
      </c>
      <c r="P139" s="21" t="str">
        <f aca="false">IF(K139="","",IF(K139="Short",IF(B139=Lists!$E$5,"ST 20%","ST slab"),IF(B139=Lists!$E$5,"LT 112A",IF(N139="","LT 12.5%",IF(AND(M139&gt;0,O139*0.2&lt;M139*0.125),"LT 20% indexed","LT 12.5%")))))</f>
        <v/>
      </c>
      <c r="Q139" s="22" t="str">
        <f aca="false">IF(P139="","",IF(P139="LT 20% indexed",MAX(0,O139),M139))</f>
        <v/>
      </c>
    </row>
    <row r="140" customFormat="false" ht="15" hidden="false" customHeight="true" outlineLevel="0" collapsed="false">
      <c r="A140" s="23"/>
      <c r="B140" s="23"/>
      <c r="C140" s="24"/>
      <c r="D140" s="24"/>
      <c r="E140" s="25"/>
      <c r="F140" s="25"/>
      <c r="G140" s="25"/>
      <c r="H140" s="25"/>
      <c r="I140" s="25"/>
      <c r="J140" s="20" t="str">
        <f aca="false">IF(OR(B140="",C140="",D140=""),"",DATEDIF(C140,D140,"m"))</f>
        <v/>
      </c>
      <c r="K140" s="21" t="str">
        <f aca="false">IF(OR(B140="",C140="",D140=""),"",IF(B140=Lists!$E$10,"Short",IF(D140&gt;EDATE(C140,IF(OR(B140=Lists!$E$5,B140=Lists!$E$6),12,24)),"Long","Short")))</f>
        <v/>
      </c>
      <c r="L140" s="20" t="str">
        <f aca="false">IF(K140="","",IF(AND(B140=Lists!$E$5,K140="Long",C140&lt;DATE(2018,2,1),N(I140)&gt;0),MAX(G140,MIN(I140,E140)),IF(AND(C140&lt;DATE(2001,4,1),N(I140)&gt;0,B140&lt;&gt;Lists!$E$5),I140,G140)))</f>
        <v/>
      </c>
      <c r="M140" s="20" t="str">
        <f aca="false">IF(K140="","",E140-F140-L140-H140)</f>
        <v/>
      </c>
      <c r="N140" s="20" t="str">
        <f aca="false">IF(K140="","",IF(AND(K140="Long",B140=Lists!$E$7,C140&lt;DATE(2024,7,23)),ROUND((L140+H140)*INDEX(Lists!$C$5:$C$30,MATCH(MIN(MAX(Lists!$B$5:$B$30),YEAR(D140)-IF(MONTH(D140)&lt;4,1,0)),Lists!$B$5:$B$30,0))/INDEX(Lists!$C$5:$C$30,MATCH(MAX(2001,YEAR(C140)-IF(MONTH(C140)&lt;4,1,0)),Lists!$B$5:$B$30,0)),0),""))</f>
        <v/>
      </c>
      <c r="O140" s="20" t="str">
        <f aca="false">IF(N140="","",E140-F140-N140)</f>
        <v/>
      </c>
      <c r="P140" s="21" t="str">
        <f aca="false">IF(K140="","",IF(K140="Short",IF(B140=Lists!$E$5,"ST 20%","ST slab"),IF(B140=Lists!$E$5,"LT 112A",IF(N140="","LT 12.5%",IF(AND(M140&gt;0,O140*0.2&lt;M140*0.125),"LT 20% indexed","LT 12.5%")))))</f>
        <v/>
      </c>
      <c r="Q140" s="22" t="str">
        <f aca="false">IF(P140="","",IF(P140="LT 20% indexed",MAX(0,O140),M140))</f>
        <v/>
      </c>
    </row>
    <row r="141" customFormat="false" ht="15" hidden="false" customHeight="true" outlineLevel="0" collapsed="false">
      <c r="A141" s="23"/>
      <c r="B141" s="23"/>
      <c r="C141" s="24"/>
      <c r="D141" s="24"/>
      <c r="E141" s="25"/>
      <c r="F141" s="25"/>
      <c r="G141" s="25"/>
      <c r="H141" s="25"/>
      <c r="I141" s="25"/>
      <c r="J141" s="20" t="str">
        <f aca="false">IF(OR(B141="",C141="",D141=""),"",DATEDIF(C141,D141,"m"))</f>
        <v/>
      </c>
      <c r="K141" s="21" t="str">
        <f aca="false">IF(OR(B141="",C141="",D141=""),"",IF(B141=Lists!$E$10,"Short",IF(D141&gt;EDATE(C141,IF(OR(B141=Lists!$E$5,B141=Lists!$E$6),12,24)),"Long","Short")))</f>
        <v/>
      </c>
      <c r="L141" s="20" t="str">
        <f aca="false">IF(K141="","",IF(AND(B141=Lists!$E$5,K141="Long",C141&lt;DATE(2018,2,1),N(I141)&gt;0),MAX(G141,MIN(I141,E141)),IF(AND(C141&lt;DATE(2001,4,1),N(I141)&gt;0,B141&lt;&gt;Lists!$E$5),I141,G141)))</f>
        <v/>
      </c>
      <c r="M141" s="20" t="str">
        <f aca="false">IF(K141="","",E141-F141-L141-H141)</f>
        <v/>
      </c>
      <c r="N141" s="20" t="str">
        <f aca="false">IF(K141="","",IF(AND(K141="Long",B141=Lists!$E$7,C141&lt;DATE(2024,7,23)),ROUND((L141+H141)*INDEX(Lists!$C$5:$C$30,MATCH(MIN(MAX(Lists!$B$5:$B$30),YEAR(D141)-IF(MONTH(D141)&lt;4,1,0)),Lists!$B$5:$B$30,0))/INDEX(Lists!$C$5:$C$30,MATCH(MAX(2001,YEAR(C141)-IF(MONTH(C141)&lt;4,1,0)),Lists!$B$5:$B$30,0)),0),""))</f>
        <v/>
      </c>
      <c r="O141" s="20" t="str">
        <f aca="false">IF(N141="","",E141-F141-N141)</f>
        <v/>
      </c>
      <c r="P141" s="21" t="str">
        <f aca="false">IF(K141="","",IF(K141="Short",IF(B141=Lists!$E$5,"ST 20%","ST slab"),IF(B141=Lists!$E$5,"LT 112A",IF(N141="","LT 12.5%",IF(AND(M141&gt;0,O141*0.2&lt;M141*0.125),"LT 20% indexed","LT 12.5%")))))</f>
        <v/>
      </c>
      <c r="Q141" s="22" t="str">
        <f aca="false">IF(P141="","",IF(P141="LT 20% indexed",MAX(0,O141),M141))</f>
        <v/>
      </c>
    </row>
    <row r="142" customFormat="false" ht="15" hidden="false" customHeight="true" outlineLevel="0" collapsed="false">
      <c r="A142" s="23"/>
      <c r="B142" s="23"/>
      <c r="C142" s="24"/>
      <c r="D142" s="24"/>
      <c r="E142" s="25"/>
      <c r="F142" s="25"/>
      <c r="G142" s="25"/>
      <c r="H142" s="25"/>
      <c r="I142" s="25"/>
      <c r="J142" s="20" t="str">
        <f aca="false">IF(OR(B142="",C142="",D142=""),"",DATEDIF(C142,D142,"m"))</f>
        <v/>
      </c>
      <c r="K142" s="21" t="str">
        <f aca="false">IF(OR(B142="",C142="",D142=""),"",IF(B142=Lists!$E$10,"Short",IF(D142&gt;EDATE(C142,IF(OR(B142=Lists!$E$5,B142=Lists!$E$6),12,24)),"Long","Short")))</f>
        <v/>
      </c>
      <c r="L142" s="20" t="str">
        <f aca="false">IF(K142="","",IF(AND(B142=Lists!$E$5,K142="Long",C142&lt;DATE(2018,2,1),N(I142)&gt;0),MAX(G142,MIN(I142,E142)),IF(AND(C142&lt;DATE(2001,4,1),N(I142)&gt;0,B142&lt;&gt;Lists!$E$5),I142,G142)))</f>
        <v/>
      </c>
      <c r="M142" s="20" t="str">
        <f aca="false">IF(K142="","",E142-F142-L142-H142)</f>
        <v/>
      </c>
      <c r="N142" s="20" t="str">
        <f aca="false">IF(K142="","",IF(AND(K142="Long",B142=Lists!$E$7,C142&lt;DATE(2024,7,23)),ROUND((L142+H142)*INDEX(Lists!$C$5:$C$30,MATCH(MIN(MAX(Lists!$B$5:$B$30),YEAR(D142)-IF(MONTH(D142)&lt;4,1,0)),Lists!$B$5:$B$30,0))/INDEX(Lists!$C$5:$C$30,MATCH(MAX(2001,YEAR(C142)-IF(MONTH(C142)&lt;4,1,0)),Lists!$B$5:$B$30,0)),0),""))</f>
        <v/>
      </c>
      <c r="O142" s="20" t="str">
        <f aca="false">IF(N142="","",E142-F142-N142)</f>
        <v/>
      </c>
      <c r="P142" s="21" t="str">
        <f aca="false">IF(K142="","",IF(K142="Short",IF(B142=Lists!$E$5,"ST 20%","ST slab"),IF(B142=Lists!$E$5,"LT 112A",IF(N142="","LT 12.5%",IF(AND(M142&gt;0,O142*0.2&lt;M142*0.125),"LT 20% indexed","LT 12.5%")))))</f>
        <v/>
      </c>
      <c r="Q142" s="22" t="str">
        <f aca="false">IF(P142="","",IF(P142="LT 20% indexed",MAX(0,O142),M142))</f>
        <v/>
      </c>
    </row>
    <row r="143" customFormat="false" ht="15" hidden="false" customHeight="true" outlineLevel="0" collapsed="false">
      <c r="A143" s="23"/>
      <c r="B143" s="23"/>
      <c r="C143" s="24"/>
      <c r="D143" s="24"/>
      <c r="E143" s="25"/>
      <c r="F143" s="25"/>
      <c r="G143" s="25"/>
      <c r="H143" s="25"/>
      <c r="I143" s="25"/>
      <c r="J143" s="20" t="str">
        <f aca="false">IF(OR(B143="",C143="",D143=""),"",DATEDIF(C143,D143,"m"))</f>
        <v/>
      </c>
      <c r="K143" s="21" t="str">
        <f aca="false">IF(OR(B143="",C143="",D143=""),"",IF(B143=Lists!$E$10,"Short",IF(D143&gt;EDATE(C143,IF(OR(B143=Lists!$E$5,B143=Lists!$E$6),12,24)),"Long","Short")))</f>
        <v/>
      </c>
      <c r="L143" s="20" t="str">
        <f aca="false">IF(K143="","",IF(AND(B143=Lists!$E$5,K143="Long",C143&lt;DATE(2018,2,1),N(I143)&gt;0),MAX(G143,MIN(I143,E143)),IF(AND(C143&lt;DATE(2001,4,1),N(I143)&gt;0,B143&lt;&gt;Lists!$E$5),I143,G143)))</f>
        <v/>
      </c>
      <c r="M143" s="20" t="str">
        <f aca="false">IF(K143="","",E143-F143-L143-H143)</f>
        <v/>
      </c>
      <c r="N143" s="20" t="str">
        <f aca="false">IF(K143="","",IF(AND(K143="Long",B143=Lists!$E$7,C143&lt;DATE(2024,7,23)),ROUND((L143+H143)*INDEX(Lists!$C$5:$C$30,MATCH(MIN(MAX(Lists!$B$5:$B$30),YEAR(D143)-IF(MONTH(D143)&lt;4,1,0)),Lists!$B$5:$B$30,0))/INDEX(Lists!$C$5:$C$30,MATCH(MAX(2001,YEAR(C143)-IF(MONTH(C143)&lt;4,1,0)),Lists!$B$5:$B$30,0)),0),""))</f>
        <v/>
      </c>
      <c r="O143" s="20" t="str">
        <f aca="false">IF(N143="","",E143-F143-N143)</f>
        <v/>
      </c>
      <c r="P143" s="21" t="str">
        <f aca="false">IF(K143="","",IF(K143="Short",IF(B143=Lists!$E$5,"ST 20%","ST slab"),IF(B143=Lists!$E$5,"LT 112A",IF(N143="","LT 12.5%",IF(AND(M143&gt;0,O143*0.2&lt;M143*0.125),"LT 20% indexed","LT 12.5%")))))</f>
        <v/>
      </c>
      <c r="Q143" s="22" t="str">
        <f aca="false">IF(P143="","",IF(P143="LT 20% indexed",MAX(0,O143),M143))</f>
        <v/>
      </c>
    </row>
    <row r="144" customFormat="false" ht="15" hidden="false" customHeight="true" outlineLevel="0" collapsed="false">
      <c r="A144" s="23"/>
      <c r="B144" s="23"/>
      <c r="C144" s="24"/>
      <c r="D144" s="24"/>
      <c r="E144" s="25"/>
      <c r="F144" s="25"/>
      <c r="G144" s="25"/>
      <c r="H144" s="25"/>
      <c r="I144" s="25"/>
      <c r="J144" s="20" t="str">
        <f aca="false">IF(OR(B144="",C144="",D144=""),"",DATEDIF(C144,D144,"m"))</f>
        <v/>
      </c>
      <c r="K144" s="21" t="str">
        <f aca="false">IF(OR(B144="",C144="",D144=""),"",IF(B144=Lists!$E$10,"Short",IF(D144&gt;EDATE(C144,IF(OR(B144=Lists!$E$5,B144=Lists!$E$6),12,24)),"Long","Short")))</f>
        <v/>
      </c>
      <c r="L144" s="20" t="str">
        <f aca="false">IF(K144="","",IF(AND(B144=Lists!$E$5,K144="Long",C144&lt;DATE(2018,2,1),N(I144)&gt;0),MAX(G144,MIN(I144,E144)),IF(AND(C144&lt;DATE(2001,4,1),N(I144)&gt;0,B144&lt;&gt;Lists!$E$5),I144,G144)))</f>
        <v/>
      </c>
      <c r="M144" s="20" t="str">
        <f aca="false">IF(K144="","",E144-F144-L144-H144)</f>
        <v/>
      </c>
      <c r="N144" s="20" t="str">
        <f aca="false">IF(K144="","",IF(AND(K144="Long",B144=Lists!$E$7,C144&lt;DATE(2024,7,23)),ROUND((L144+H144)*INDEX(Lists!$C$5:$C$30,MATCH(MIN(MAX(Lists!$B$5:$B$30),YEAR(D144)-IF(MONTH(D144)&lt;4,1,0)),Lists!$B$5:$B$30,0))/INDEX(Lists!$C$5:$C$30,MATCH(MAX(2001,YEAR(C144)-IF(MONTH(C144)&lt;4,1,0)),Lists!$B$5:$B$30,0)),0),""))</f>
        <v/>
      </c>
      <c r="O144" s="20" t="str">
        <f aca="false">IF(N144="","",E144-F144-N144)</f>
        <v/>
      </c>
      <c r="P144" s="21" t="str">
        <f aca="false">IF(K144="","",IF(K144="Short",IF(B144=Lists!$E$5,"ST 20%","ST slab"),IF(B144=Lists!$E$5,"LT 112A",IF(N144="","LT 12.5%",IF(AND(M144&gt;0,O144*0.2&lt;M144*0.125),"LT 20% indexed","LT 12.5%")))))</f>
        <v/>
      </c>
      <c r="Q144" s="22" t="str">
        <f aca="false">IF(P144="","",IF(P144="LT 20% indexed",MAX(0,O144),M144))</f>
        <v/>
      </c>
    </row>
    <row r="145" customFormat="false" ht="15" hidden="false" customHeight="true" outlineLevel="0" collapsed="false">
      <c r="A145" s="23"/>
      <c r="B145" s="23"/>
      <c r="C145" s="24"/>
      <c r="D145" s="24"/>
      <c r="E145" s="25"/>
      <c r="F145" s="25"/>
      <c r="G145" s="25"/>
      <c r="H145" s="25"/>
      <c r="I145" s="25"/>
      <c r="J145" s="20" t="str">
        <f aca="false">IF(OR(B145="",C145="",D145=""),"",DATEDIF(C145,D145,"m"))</f>
        <v/>
      </c>
      <c r="K145" s="21" t="str">
        <f aca="false">IF(OR(B145="",C145="",D145=""),"",IF(B145=Lists!$E$10,"Short",IF(D145&gt;EDATE(C145,IF(OR(B145=Lists!$E$5,B145=Lists!$E$6),12,24)),"Long","Short")))</f>
        <v/>
      </c>
      <c r="L145" s="20" t="str">
        <f aca="false">IF(K145="","",IF(AND(B145=Lists!$E$5,K145="Long",C145&lt;DATE(2018,2,1),N(I145)&gt;0),MAX(G145,MIN(I145,E145)),IF(AND(C145&lt;DATE(2001,4,1),N(I145)&gt;0,B145&lt;&gt;Lists!$E$5),I145,G145)))</f>
        <v/>
      </c>
      <c r="M145" s="20" t="str">
        <f aca="false">IF(K145="","",E145-F145-L145-H145)</f>
        <v/>
      </c>
      <c r="N145" s="20" t="str">
        <f aca="false">IF(K145="","",IF(AND(K145="Long",B145=Lists!$E$7,C145&lt;DATE(2024,7,23)),ROUND((L145+H145)*INDEX(Lists!$C$5:$C$30,MATCH(MIN(MAX(Lists!$B$5:$B$30),YEAR(D145)-IF(MONTH(D145)&lt;4,1,0)),Lists!$B$5:$B$30,0))/INDEX(Lists!$C$5:$C$30,MATCH(MAX(2001,YEAR(C145)-IF(MONTH(C145)&lt;4,1,0)),Lists!$B$5:$B$30,0)),0),""))</f>
        <v/>
      </c>
      <c r="O145" s="20" t="str">
        <f aca="false">IF(N145="","",E145-F145-N145)</f>
        <v/>
      </c>
      <c r="P145" s="21" t="str">
        <f aca="false">IF(K145="","",IF(K145="Short",IF(B145=Lists!$E$5,"ST 20%","ST slab"),IF(B145=Lists!$E$5,"LT 112A",IF(N145="","LT 12.5%",IF(AND(M145&gt;0,O145*0.2&lt;M145*0.125),"LT 20% indexed","LT 12.5%")))))</f>
        <v/>
      </c>
      <c r="Q145" s="22" t="str">
        <f aca="false">IF(P145="","",IF(P145="LT 20% indexed",MAX(0,O145),M145))</f>
        <v/>
      </c>
    </row>
    <row r="146" customFormat="false" ht="15" hidden="false" customHeight="true" outlineLevel="0" collapsed="false">
      <c r="A146" s="23"/>
      <c r="B146" s="23"/>
      <c r="C146" s="24"/>
      <c r="D146" s="24"/>
      <c r="E146" s="25"/>
      <c r="F146" s="25"/>
      <c r="G146" s="25"/>
      <c r="H146" s="25"/>
      <c r="I146" s="25"/>
      <c r="J146" s="20" t="str">
        <f aca="false">IF(OR(B146="",C146="",D146=""),"",DATEDIF(C146,D146,"m"))</f>
        <v/>
      </c>
      <c r="K146" s="21" t="str">
        <f aca="false">IF(OR(B146="",C146="",D146=""),"",IF(B146=Lists!$E$10,"Short",IF(D146&gt;EDATE(C146,IF(OR(B146=Lists!$E$5,B146=Lists!$E$6),12,24)),"Long","Short")))</f>
        <v/>
      </c>
      <c r="L146" s="20" t="str">
        <f aca="false">IF(K146="","",IF(AND(B146=Lists!$E$5,K146="Long",C146&lt;DATE(2018,2,1),N(I146)&gt;0),MAX(G146,MIN(I146,E146)),IF(AND(C146&lt;DATE(2001,4,1),N(I146)&gt;0,B146&lt;&gt;Lists!$E$5),I146,G146)))</f>
        <v/>
      </c>
      <c r="M146" s="20" t="str">
        <f aca="false">IF(K146="","",E146-F146-L146-H146)</f>
        <v/>
      </c>
      <c r="N146" s="20" t="str">
        <f aca="false">IF(K146="","",IF(AND(K146="Long",B146=Lists!$E$7,C146&lt;DATE(2024,7,23)),ROUND((L146+H146)*INDEX(Lists!$C$5:$C$30,MATCH(MIN(MAX(Lists!$B$5:$B$30),YEAR(D146)-IF(MONTH(D146)&lt;4,1,0)),Lists!$B$5:$B$30,0))/INDEX(Lists!$C$5:$C$30,MATCH(MAX(2001,YEAR(C146)-IF(MONTH(C146)&lt;4,1,0)),Lists!$B$5:$B$30,0)),0),""))</f>
        <v/>
      </c>
      <c r="O146" s="20" t="str">
        <f aca="false">IF(N146="","",E146-F146-N146)</f>
        <v/>
      </c>
      <c r="P146" s="21" t="str">
        <f aca="false">IF(K146="","",IF(K146="Short",IF(B146=Lists!$E$5,"ST 20%","ST slab"),IF(B146=Lists!$E$5,"LT 112A",IF(N146="","LT 12.5%",IF(AND(M146&gt;0,O146*0.2&lt;M146*0.125),"LT 20% indexed","LT 12.5%")))))</f>
        <v/>
      </c>
      <c r="Q146" s="22" t="str">
        <f aca="false">IF(P146="","",IF(P146="LT 20% indexed",MAX(0,O146),M146))</f>
        <v/>
      </c>
    </row>
    <row r="147" customFormat="false" ht="15" hidden="false" customHeight="true" outlineLevel="0" collapsed="false">
      <c r="A147" s="23"/>
      <c r="B147" s="23"/>
      <c r="C147" s="24"/>
      <c r="D147" s="24"/>
      <c r="E147" s="25"/>
      <c r="F147" s="25"/>
      <c r="G147" s="25"/>
      <c r="H147" s="25"/>
      <c r="I147" s="25"/>
      <c r="J147" s="20" t="str">
        <f aca="false">IF(OR(B147="",C147="",D147=""),"",DATEDIF(C147,D147,"m"))</f>
        <v/>
      </c>
      <c r="K147" s="21" t="str">
        <f aca="false">IF(OR(B147="",C147="",D147=""),"",IF(B147=Lists!$E$10,"Short",IF(D147&gt;EDATE(C147,IF(OR(B147=Lists!$E$5,B147=Lists!$E$6),12,24)),"Long","Short")))</f>
        <v/>
      </c>
      <c r="L147" s="20" t="str">
        <f aca="false">IF(K147="","",IF(AND(B147=Lists!$E$5,K147="Long",C147&lt;DATE(2018,2,1),N(I147)&gt;0),MAX(G147,MIN(I147,E147)),IF(AND(C147&lt;DATE(2001,4,1),N(I147)&gt;0,B147&lt;&gt;Lists!$E$5),I147,G147)))</f>
        <v/>
      </c>
      <c r="M147" s="20" t="str">
        <f aca="false">IF(K147="","",E147-F147-L147-H147)</f>
        <v/>
      </c>
      <c r="N147" s="20" t="str">
        <f aca="false">IF(K147="","",IF(AND(K147="Long",B147=Lists!$E$7,C147&lt;DATE(2024,7,23)),ROUND((L147+H147)*INDEX(Lists!$C$5:$C$30,MATCH(MIN(MAX(Lists!$B$5:$B$30),YEAR(D147)-IF(MONTH(D147)&lt;4,1,0)),Lists!$B$5:$B$30,0))/INDEX(Lists!$C$5:$C$30,MATCH(MAX(2001,YEAR(C147)-IF(MONTH(C147)&lt;4,1,0)),Lists!$B$5:$B$30,0)),0),""))</f>
        <v/>
      </c>
      <c r="O147" s="20" t="str">
        <f aca="false">IF(N147="","",E147-F147-N147)</f>
        <v/>
      </c>
      <c r="P147" s="21" t="str">
        <f aca="false">IF(K147="","",IF(K147="Short",IF(B147=Lists!$E$5,"ST 20%","ST slab"),IF(B147=Lists!$E$5,"LT 112A",IF(N147="","LT 12.5%",IF(AND(M147&gt;0,O147*0.2&lt;M147*0.125),"LT 20% indexed","LT 12.5%")))))</f>
        <v/>
      </c>
      <c r="Q147" s="22" t="str">
        <f aca="false">IF(P147="","",IF(P147="LT 20% indexed",MAX(0,O147),M147))</f>
        <v/>
      </c>
    </row>
    <row r="148" customFormat="false" ht="15" hidden="false" customHeight="true" outlineLevel="0" collapsed="false">
      <c r="A148" s="23"/>
      <c r="B148" s="23"/>
      <c r="C148" s="24"/>
      <c r="D148" s="24"/>
      <c r="E148" s="25"/>
      <c r="F148" s="25"/>
      <c r="G148" s="25"/>
      <c r="H148" s="25"/>
      <c r="I148" s="25"/>
      <c r="J148" s="20" t="str">
        <f aca="false">IF(OR(B148="",C148="",D148=""),"",DATEDIF(C148,D148,"m"))</f>
        <v/>
      </c>
      <c r="K148" s="21" t="str">
        <f aca="false">IF(OR(B148="",C148="",D148=""),"",IF(B148=Lists!$E$10,"Short",IF(D148&gt;EDATE(C148,IF(OR(B148=Lists!$E$5,B148=Lists!$E$6),12,24)),"Long","Short")))</f>
        <v/>
      </c>
      <c r="L148" s="20" t="str">
        <f aca="false">IF(K148="","",IF(AND(B148=Lists!$E$5,K148="Long",C148&lt;DATE(2018,2,1),N(I148)&gt;0),MAX(G148,MIN(I148,E148)),IF(AND(C148&lt;DATE(2001,4,1),N(I148)&gt;0,B148&lt;&gt;Lists!$E$5),I148,G148)))</f>
        <v/>
      </c>
      <c r="M148" s="20" t="str">
        <f aca="false">IF(K148="","",E148-F148-L148-H148)</f>
        <v/>
      </c>
      <c r="N148" s="20" t="str">
        <f aca="false">IF(K148="","",IF(AND(K148="Long",B148=Lists!$E$7,C148&lt;DATE(2024,7,23)),ROUND((L148+H148)*INDEX(Lists!$C$5:$C$30,MATCH(MIN(MAX(Lists!$B$5:$B$30),YEAR(D148)-IF(MONTH(D148)&lt;4,1,0)),Lists!$B$5:$B$30,0))/INDEX(Lists!$C$5:$C$30,MATCH(MAX(2001,YEAR(C148)-IF(MONTH(C148)&lt;4,1,0)),Lists!$B$5:$B$30,0)),0),""))</f>
        <v/>
      </c>
      <c r="O148" s="20" t="str">
        <f aca="false">IF(N148="","",E148-F148-N148)</f>
        <v/>
      </c>
      <c r="P148" s="21" t="str">
        <f aca="false">IF(K148="","",IF(K148="Short",IF(B148=Lists!$E$5,"ST 20%","ST slab"),IF(B148=Lists!$E$5,"LT 112A",IF(N148="","LT 12.5%",IF(AND(M148&gt;0,O148*0.2&lt;M148*0.125),"LT 20% indexed","LT 12.5%")))))</f>
        <v/>
      </c>
      <c r="Q148" s="22" t="str">
        <f aca="false">IF(P148="","",IF(P148="LT 20% indexed",MAX(0,O148),M148))</f>
        <v/>
      </c>
    </row>
    <row r="149" customFormat="false" ht="15" hidden="false" customHeight="true" outlineLevel="0" collapsed="false">
      <c r="A149" s="23"/>
      <c r="B149" s="23"/>
      <c r="C149" s="24"/>
      <c r="D149" s="24"/>
      <c r="E149" s="25"/>
      <c r="F149" s="25"/>
      <c r="G149" s="25"/>
      <c r="H149" s="25"/>
      <c r="I149" s="25"/>
      <c r="J149" s="20" t="str">
        <f aca="false">IF(OR(B149="",C149="",D149=""),"",DATEDIF(C149,D149,"m"))</f>
        <v/>
      </c>
      <c r="K149" s="21" t="str">
        <f aca="false">IF(OR(B149="",C149="",D149=""),"",IF(B149=Lists!$E$10,"Short",IF(D149&gt;EDATE(C149,IF(OR(B149=Lists!$E$5,B149=Lists!$E$6),12,24)),"Long","Short")))</f>
        <v/>
      </c>
      <c r="L149" s="20" t="str">
        <f aca="false">IF(K149="","",IF(AND(B149=Lists!$E$5,K149="Long",C149&lt;DATE(2018,2,1),N(I149)&gt;0),MAX(G149,MIN(I149,E149)),IF(AND(C149&lt;DATE(2001,4,1),N(I149)&gt;0,B149&lt;&gt;Lists!$E$5),I149,G149)))</f>
        <v/>
      </c>
      <c r="M149" s="20" t="str">
        <f aca="false">IF(K149="","",E149-F149-L149-H149)</f>
        <v/>
      </c>
      <c r="N149" s="20" t="str">
        <f aca="false">IF(K149="","",IF(AND(K149="Long",B149=Lists!$E$7,C149&lt;DATE(2024,7,23)),ROUND((L149+H149)*INDEX(Lists!$C$5:$C$30,MATCH(MIN(MAX(Lists!$B$5:$B$30),YEAR(D149)-IF(MONTH(D149)&lt;4,1,0)),Lists!$B$5:$B$30,0))/INDEX(Lists!$C$5:$C$30,MATCH(MAX(2001,YEAR(C149)-IF(MONTH(C149)&lt;4,1,0)),Lists!$B$5:$B$30,0)),0),""))</f>
        <v/>
      </c>
      <c r="O149" s="20" t="str">
        <f aca="false">IF(N149="","",E149-F149-N149)</f>
        <v/>
      </c>
      <c r="P149" s="21" t="str">
        <f aca="false">IF(K149="","",IF(K149="Short",IF(B149=Lists!$E$5,"ST 20%","ST slab"),IF(B149=Lists!$E$5,"LT 112A",IF(N149="","LT 12.5%",IF(AND(M149&gt;0,O149*0.2&lt;M149*0.125),"LT 20% indexed","LT 12.5%")))))</f>
        <v/>
      </c>
      <c r="Q149" s="22" t="str">
        <f aca="false">IF(P149="","",IF(P149="LT 20% indexed",MAX(0,O149),M149))</f>
        <v/>
      </c>
    </row>
    <row r="150" customFormat="false" ht="15" hidden="false" customHeight="true" outlineLevel="0" collapsed="false">
      <c r="A150" s="23"/>
      <c r="B150" s="23"/>
      <c r="C150" s="24"/>
      <c r="D150" s="24"/>
      <c r="E150" s="25"/>
      <c r="F150" s="25"/>
      <c r="G150" s="25"/>
      <c r="H150" s="25"/>
      <c r="I150" s="25"/>
      <c r="J150" s="20" t="str">
        <f aca="false">IF(OR(B150="",C150="",D150=""),"",DATEDIF(C150,D150,"m"))</f>
        <v/>
      </c>
      <c r="K150" s="21" t="str">
        <f aca="false">IF(OR(B150="",C150="",D150=""),"",IF(B150=Lists!$E$10,"Short",IF(D150&gt;EDATE(C150,IF(OR(B150=Lists!$E$5,B150=Lists!$E$6),12,24)),"Long","Short")))</f>
        <v/>
      </c>
      <c r="L150" s="20" t="str">
        <f aca="false">IF(K150="","",IF(AND(B150=Lists!$E$5,K150="Long",C150&lt;DATE(2018,2,1),N(I150)&gt;0),MAX(G150,MIN(I150,E150)),IF(AND(C150&lt;DATE(2001,4,1),N(I150)&gt;0,B150&lt;&gt;Lists!$E$5),I150,G150)))</f>
        <v/>
      </c>
      <c r="M150" s="20" t="str">
        <f aca="false">IF(K150="","",E150-F150-L150-H150)</f>
        <v/>
      </c>
      <c r="N150" s="20" t="str">
        <f aca="false">IF(K150="","",IF(AND(K150="Long",B150=Lists!$E$7,C150&lt;DATE(2024,7,23)),ROUND((L150+H150)*INDEX(Lists!$C$5:$C$30,MATCH(MIN(MAX(Lists!$B$5:$B$30),YEAR(D150)-IF(MONTH(D150)&lt;4,1,0)),Lists!$B$5:$B$30,0))/INDEX(Lists!$C$5:$C$30,MATCH(MAX(2001,YEAR(C150)-IF(MONTH(C150)&lt;4,1,0)),Lists!$B$5:$B$30,0)),0),""))</f>
        <v/>
      </c>
      <c r="O150" s="20" t="str">
        <f aca="false">IF(N150="","",E150-F150-N150)</f>
        <v/>
      </c>
      <c r="P150" s="21" t="str">
        <f aca="false">IF(K150="","",IF(K150="Short",IF(B150=Lists!$E$5,"ST 20%","ST slab"),IF(B150=Lists!$E$5,"LT 112A",IF(N150="","LT 12.5%",IF(AND(M150&gt;0,O150*0.2&lt;M150*0.125),"LT 20% indexed","LT 12.5%")))))</f>
        <v/>
      </c>
      <c r="Q150" s="22" t="str">
        <f aca="false">IF(P150="","",IF(P150="LT 20% indexed",MAX(0,O150),M150))</f>
        <v/>
      </c>
    </row>
    <row r="151" customFormat="false" ht="15" hidden="false" customHeight="true" outlineLevel="0" collapsed="false">
      <c r="A151" s="23"/>
      <c r="B151" s="23"/>
      <c r="C151" s="24"/>
      <c r="D151" s="24"/>
      <c r="E151" s="25"/>
      <c r="F151" s="25"/>
      <c r="G151" s="25"/>
      <c r="H151" s="25"/>
      <c r="I151" s="25"/>
      <c r="J151" s="20" t="str">
        <f aca="false">IF(OR(B151="",C151="",D151=""),"",DATEDIF(C151,D151,"m"))</f>
        <v/>
      </c>
      <c r="K151" s="21" t="str">
        <f aca="false">IF(OR(B151="",C151="",D151=""),"",IF(B151=Lists!$E$10,"Short",IF(D151&gt;EDATE(C151,IF(OR(B151=Lists!$E$5,B151=Lists!$E$6),12,24)),"Long","Short")))</f>
        <v/>
      </c>
      <c r="L151" s="20" t="str">
        <f aca="false">IF(K151="","",IF(AND(B151=Lists!$E$5,K151="Long",C151&lt;DATE(2018,2,1),N(I151)&gt;0),MAX(G151,MIN(I151,E151)),IF(AND(C151&lt;DATE(2001,4,1),N(I151)&gt;0,B151&lt;&gt;Lists!$E$5),I151,G151)))</f>
        <v/>
      </c>
      <c r="M151" s="20" t="str">
        <f aca="false">IF(K151="","",E151-F151-L151-H151)</f>
        <v/>
      </c>
      <c r="N151" s="20" t="str">
        <f aca="false">IF(K151="","",IF(AND(K151="Long",B151=Lists!$E$7,C151&lt;DATE(2024,7,23)),ROUND((L151+H151)*INDEX(Lists!$C$5:$C$30,MATCH(MIN(MAX(Lists!$B$5:$B$30),YEAR(D151)-IF(MONTH(D151)&lt;4,1,0)),Lists!$B$5:$B$30,0))/INDEX(Lists!$C$5:$C$30,MATCH(MAX(2001,YEAR(C151)-IF(MONTH(C151)&lt;4,1,0)),Lists!$B$5:$B$30,0)),0),""))</f>
        <v/>
      </c>
      <c r="O151" s="20" t="str">
        <f aca="false">IF(N151="","",E151-F151-N151)</f>
        <v/>
      </c>
      <c r="P151" s="21" t="str">
        <f aca="false">IF(K151="","",IF(K151="Short",IF(B151=Lists!$E$5,"ST 20%","ST slab"),IF(B151=Lists!$E$5,"LT 112A",IF(N151="","LT 12.5%",IF(AND(M151&gt;0,O151*0.2&lt;M151*0.125),"LT 20% indexed","LT 12.5%")))))</f>
        <v/>
      </c>
      <c r="Q151" s="22" t="str">
        <f aca="false">IF(P151="","",IF(P151="LT 20% indexed",MAX(0,O151),M151))</f>
        <v/>
      </c>
    </row>
    <row r="152" customFormat="false" ht="15" hidden="false" customHeight="true" outlineLevel="0" collapsed="false">
      <c r="A152" s="23"/>
      <c r="B152" s="23"/>
      <c r="C152" s="24"/>
      <c r="D152" s="24"/>
      <c r="E152" s="25"/>
      <c r="F152" s="25"/>
      <c r="G152" s="25"/>
      <c r="H152" s="25"/>
      <c r="I152" s="25"/>
      <c r="J152" s="20" t="str">
        <f aca="false">IF(OR(B152="",C152="",D152=""),"",DATEDIF(C152,D152,"m"))</f>
        <v/>
      </c>
      <c r="K152" s="21" t="str">
        <f aca="false">IF(OR(B152="",C152="",D152=""),"",IF(B152=Lists!$E$10,"Short",IF(D152&gt;EDATE(C152,IF(OR(B152=Lists!$E$5,B152=Lists!$E$6),12,24)),"Long","Short")))</f>
        <v/>
      </c>
      <c r="L152" s="20" t="str">
        <f aca="false">IF(K152="","",IF(AND(B152=Lists!$E$5,K152="Long",C152&lt;DATE(2018,2,1),N(I152)&gt;0),MAX(G152,MIN(I152,E152)),IF(AND(C152&lt;DATE(2001,4,1),N(I152)&gt;0,B152&lt;&gt;Lists!$E$5),I152,G152)))</f>
        <v/>
      </c>
      <c r="M152" s="20" t="str">
        <f aca="false">IF(K152="","",E152-F152-L152-H152)</f>
        <v/>
      </c>
      <c r="N152" s="20" t="str">
        <f aca="false">IF(K152="","",IF(AND(K152="Long",B152=Lists!$E$7,C152&lt;DATE(2024,7,23)),ROUND((L152+H152)*INDEX(Lists!$C$5:$C$30,MATCH(MIN(MAX(Lists!$B$5:$B$30),YEAR(D152)-IF(MONTH(D152)&lt;4,1,0)),Lists!$B$5:$B$30,0))/INDEX(Lists!$C$5:$C$30,MATCH(MAX(2001,YEAR(C152)-IF(MONTH(C152)&lt;4,1,0)),Lists!$B$5:$B$30,0)),0),""))</f>
        <v/>
      </c>
      <c r="O152" s="20" t="str">
        <f aca="false">IF(N152="","",E152-F152-N152)</f>
        <v/>
      </c>
      <c r="P152" s="21" t="str">
        <f aca="false">IF(K152="","",IF(K152="Short",IF(B152=Lists!$E$5,"ST 20%","ST slab"),IF(B152=Lists!$E$5,"LT 112A",IF(N152="","LT 12.5%",IF(AND(M152&gt;0,O152*0.2&lt;M152*0.125),"LT 20% indexed","LT 12.5%")))))</f>
        <v/>
      </c>
      <c r="Q152" s="22" t="str">
        <f aca="false">IF(P152="","",IF(P152="LT 20% indexed",MAX(0,O152),M152))</f>
        <v/>
      </c>
    </row>
    <row r="153" customFormat="false" ht="15" hidden="false" customHeight="true" outlineLevel="0" collapsed="false">
      <c r="A153" s="23"/>
      <c r="B153" s="23"/>
      <c r="C153" s="24"/>
      <c r="D153" s="24"/>
      <c r="E153" s="25"/>
      <c r="F153" s="25"/>
      <c r="G153" s="25"/>
      <c r="H153" s="25"/>
      <c r="I153" s="25"/>
      <c r="J153" s="20" t="str">
        <f aca="false">IF(OR(B153="",C153="",D153=""),"",DATEDIF(C153,D153,"m"))</f>
        <v/>
      </c>
      <c r="K153" s="21" t="str">
        <f aca="false">IF(OR(B153="",C153="",D153=""),"",IF(B153=Lists!$E$10,"Short",IF(D153&gt;EDATE(C153,IF(OR(B153=Lists!$E$5,B153=Lists!$E$6),12,24)),"Long","Short")))</f>
        <v/>
      </c>
      <c r="L153" s="20" t="str">
        <f aca="false">IF(K153="","",IF(AND(B153=Lists!$E$5,K153="Long",C153&lt;DATE(2018,2,1),N(I153)&gt;0),MAX(G153,MIN(I153,E153)),IF(AND(C153&lt;DATE(2001,4,1),N(I153)&gt;0,B153&lt;&gt;Lists!$E$5),I153,G153)))</f>
        <v/>
      </c>
      <c r="M153" s="20" t="str">
        <f aca="false">IF(K153="","",E153-F153-L153-H153)</f>
        <v/>
      </c>
      <c r="N153" s="20" t="str">
        <f aca="false">IF(K153="","",IF(AND(K153="Long",B153=Lists!$E$7,C153&lt;DATE(2024,7,23)),ROUND((L153+H153)*INDEX(Lists!$C$5:$C$30,MATCH(MIN(MAX(Lists!$B$5:$B$30),YEAR(D153)-IF(MONTH(D153)&lt;4,1,0)),Lists!$B$5:$B$30,0))/INDEX(Lists!$C$5:$C$30,MATCH(MAX(2001,YEAR(C153)-IF(MONTH(C153)&lt;4,1,0)),Lists!$B$5:$B$30,0)),0),""))</f>
        <v/>
      </c>
      <c r="O153" s="20" t="str">
        <f aca="false">IF(N153="","",E153-F153-N153)</f>
        <v/>
      </c>
      <c r="P153" s="21" t="str">
        <f aca="false">IF(K153="","",IF(K153="Short",IF(B153=Lists!$E$5,"ST 20%","ST slab"),IF(B153=Lists!$E$5,"LT 112A",IF(N153="","LT 12.5%",IF(AND(M153&gt;0,O153*0.2&lt;M153*0.125),"LT 20% indexed","LT 12.5%")))))</f>
        <v/>
      </c>
      <c r="Q153" s="22" t="str">
        <f aca="false">IF(P153="","",IF(P153="LT 20% indexed",MAX(0,O153),M153))</f>
        <v/>
      </c>
    </row>
    <row r="154" customFormat="false" ht="15" hidden="false" customHeight="true" outlineLevel="0" collapsed="false">
      <c r="A154" s="23"/>
      <c r="B154" s="23"/>
      <c r="C154" s="24"/>
      <c r="D154" s="24"/>
      <c r="E154" s="25"/>
      <c r="F154" s="25"/>
      <c r="G154" s="25"/>
      <c r="H154" s="25"/>
      <c r="I154" s="25"/>
      <c r="J154" s="20" t="str">
        <f aca="false">IF(OR(B154="",C154="",D154=""),"",DATEDIF(C154,D154,"m"))</f>
        <v/>
      </c>
      <c r="K154" s="21" t="str">
        <f aca="false">IF(OR(B154="",C154="",D154=""),"",IF(B154=Lists!$E$10,"Short",IF(D154&gt;EDATE(C154,IF(OR(B154=Lists!$E$5,B154=Lists!$E$6),12,24)),"Long","Short")))</f>
        <v/>
      </c>
      <c r="L154" s="20" t="str">
        <f aca="false">IF(K154="","",IF(AND(B154=Lists!$E$5,K154="Long",C154&lt;DATE(2018,2,1),N(I154)&gt;0),MAX(G154,MIN(I154,E154)),IF(AND(C154&lt;DATE(2001,4,1),N(I154)&gt;0,B154&lt;&gt;Lists!$E$5),I154,G154)))</f>
        <v/>
      </c>
      <c r="M154" s="20" t="str">
        <f aca="false">IF(K154="","",E154-F154-L154-H154)</f>
        <v/>
      </c>
      <c r="N154" s="20" t="str">
        <f aca="false">IF(K154="","",IF(AND(K154="Long",B154=Lists!$E$7,C154&lt;DATE(2024,7,23)),ROUND((L154+H154)*INDEX(Lists!$C$5:$C$30,MATCH(MIN(MAX(Lists!$B$5:$B$30),YEAR(D154)-IF(MONTH(D154)&lt;4,1,0)),Lists!$B$5:$B$30,0))/INDEX(Lists!$C$5:$C$30,MATCH(MAX(2001,YEAR(C154)-IF(MONTH(C154)&lt;4,1,0)),Lists!$B$5:$B$30,0)),0),""))</f>
        <v/>
      </c>
      <c r="O154" s="20" t="str">
        <f aca="false">IF(N154="","",E154-F154-N154)</f>
        <v/>
      </c>
      <c r="P154" s="21" t="str">
        <f aca="false">IF(K154="","",IF(K154="Short",IF(B154=Lists!$E$5,"ST 20%","ST slab"),IF(B154=Lists!$E$5,"LT 112A",IF(N154="","LT 12.5%",IF(AND(M154&gt;0,O154*0.2&lt;M154*0.125),"LT 20% indexed","LT 12.5%")))))</f>
        <v/>
      </c>
      <c r="Q154" s="22" t="str">
        <f aca="false">IF(P154="","",IF(P154="LT 20% indexed",MAX(0,O154),M154))</f>
        <v/>
      </c>
    </row>
    <row r="155" customFormat="false" ht="15" hidden="false" customHeight="true" outlineLevel="0" collapsed="false">
      <c r="A155" s="23"/>
      <c r="B155" s="23"/>
      <c r="C155" s="24"/>
      <c r="D155" s="24"/>
      <c r="E155" s="25"/>
      <c r="F155" s="25"/>
      <c r="G155" s="25"/>
      <c r="H155" s="25"/>
      <c r="I155" s="25"/>
      <c r="J155" s="20" t="str">
        <f aca="false">IF(OR(B155="",C155="",D155=""),"",DATEDIF(C155,D155,"m"))</f>
        <v/>
      </c>
      <c r="K155" s="21" t="str">
        <f aca="false">IF(OR(B155="",C155="",D155=""),"",IF(B155=Lists!$E$10,"Short",IF(D155&gt;EDATE(C155,IF(OR(B155=Lists!$E$5,B155=Lists!$E$6),12,24)),"Long","Short")))</f>
        <v/>
      </c>
      <c r="L155" s="20" t="str">
        <f aca="false">IF(K155="","",IF(AND(B155=Lists!$E$5,K155="Long",C155&lt;DATE(2018,2,1),N(I155)&gt;0),MAX(G155,MIN(I155,E155)),IF(AND(C155&lt;DATE(2001,4,1),N(I155)&gt;0,B155&lt;&gt;Lists!$E$5),I155,G155)))</f>
        <v/>
      </c>
      <c r="M155" s="20" t="str">
        <f aca="false">IF(K155="","",E155-F155-L155-H155)</f>
        <v/>
      </c>
      <c r="N155" s="20" t="str">
        <f aca="false">IF(K155="","",IF(AND(K155="Long",B155=Lists!$E$7,C155&lt;DATE(2024,7,23)),ROUND((L155+H155)*INDEX(Lists!$C$5:$C$30,MATCH(MIN(MAX(Lists!$B$5:$B$30),YEAR(D155)-IF(MONTH(D155)&lt;4,1,0)),Lists!$B$5:$B$30,0))/INDEX(Lists!$C$5:$C$30,MATCH(MAX(2001,YEAR(C155)-IF(MONTH(C155)&lt;4,1,0)),Lists!$B$5:$B$30,0)),0),""))</f>
        <v/>
      </c>
      <c r="O155" s="20" t="str">
        <f aca="false">IF(N155="","",E155-F155-N155)</f>
        <v/>
      </c>
      <c r="P155" s="21" t="str">
        <f aca="false">IF(K155="","",IF(K155="Short",IF(B155=Lists!$E$5,"ST 20%","ST slab"),IF(B155=Lists!$E$5,"LT 112A",IF(N155="","LT 12.5%",IF(AND(M155&gt;0,O155*0.2&lt;M155*0.125),"LT 20% indexed","LT 12.5%")))))</f>
        <v/>
      </c>
      <c r="Q155" s="22" t="str">
        <f aca="false">IF(P155="","",IF(P155="LT 20% indexed",MAX(0,O155),M155))</f>
        <v/>
      </c>
    </row>
    <row r="156" customFormat="false" ht="15" hidden="false" customHeight="true" outlineLevel="0" collapsed="false">
      <c r="A156" s="23"/>
      <c r="B156" s="23"/>
      <c r="C156" s="24"/>
      <c r="D156" s="24"/>
      <c r="E156" s="25"/>
      <c r="F156" s="25"/>
      <c r="G156" s="25"/>
      <c r="H156" s="25"/>
      <c r="I156" s="25"/>
      <c r="J156" s="20" t="str">
        <f aca="false">IF(OR(B156="",C156="",D156=""),"",DATEDIF(C156,D156,"m"))</f>
        <v/>
      </c>
      <c r="K156" s="21" t="str">
        <f aca="false">IF(OR(B156="",C156="",D156=""),"",IF(B156=Lists!$E$10,"Short",IF(D156&gt;EDATE(C156,IF(OR(B156=Lists!$E$5,B156=Lists!$E$6),12,24)),"Long","Short")))</f>
        <v/>
      </c>
      <c r="L156" s="20" t="str">
        <f aca="false">IF(K156="","",IF(AND(B156=Lists!$E$5,K156="Long",C156&lt;DATE(2018,2,1),N(I156)&gt;0),MAX(G156,MIN(I156,E156)),IF(AND(C156&lt;DATE(2001,4,1),N(I156)&gt;0,B156&lt;&gt;Lists!$E$5),I156,G156)))</f>
        <v/>
      </c>
      <c r="M156" s="20" t="str">
        <f aca="false">IF(K156="","",E156-F156-L156-H156)</f>
        <v/>
      </c>
      <c r="N156" s="20" t="str">
        <f aca="false">IF(K156="","",IF(AND(K156="Long",B156=Lists!$E$7,C156&lt;DATE(2024,7,23)),ROUND((L156+H156)*INDEX(Lists!$C$5:$C$30,MATCH(MIN(MAX(Lists!$B$5:$B$30),YEAR(D156)-IF(MONTH(D156)&lt;4,1,0)),Lists!$B$5:$B$30,0))/INDEX(Lists!$C$5:$C$30,MATCH(MAX(2001,YEAR(C156)-IF(MONTH(C156)&lt;4,1,0)),Lists!$B$5:$B$30,0)),0),""))</f>
        <v/>
      </c>
      <c r="O156" s="20" t="str">
        <f aca="false">IF(N156="","",E156-F156-N156)</f>
        <v/>
      </c>
      <c r="P156" s="21" t="str">
        <f aca="false">IF(K156="","",IF(K156="Short",IF(B156=Lists!$E$5,"ST 20%","ST slab"),IF(B156=Lists!$E$5,"LT 112A",IF(N156="","LT 12.5%",IF(AND(M156&gt;0,O156*0.2&lt;M156*0.125),"LT 20% indexed","LT 12.5%")))))</f>
        <v/>
      </c>
      <c r="Q156" s="22" t="str">
        <f aca="false">IF(P156="","",IF(P156="LT 20% indexed",MAX(0,O156),M156))</f>
        <v/>
      </c>
    </row>
    <row r="157" customFormat="false" ht="15" hidden="false" customHeight="true" outlineLevel="0" collapsed="false">
      <c r="A157" s="23"/>
      <c r="B157" s="23"/>
      <c r="C157" s="24"/>
      <c r="D157" s="24"/>
      <c r="E157" s="25"/>
      <c r="F157" s="25"/>
      <c r="G157" s="25"/>
      <c r="H157" s="25"/>
      <c r="I157" s="25"/>
      <c r="J157" s="20" t="str">
        <f aca="false">IF(OR(B157="",C157="",D157=""),"",DATEDIF(C157,D157,"m"))</f>
        <v/>
      </c>
      <c r="K157" s="21" t="str">
        <f aca="false">IF(OR(B157="",C157="",D157=""),"",IF(B157=Lists!$E$10,"Short",IF(D157&gt;EDATE(C157,IF(OR(B157=Lists!$E$5,B157=Lists!$E$6),12,24)),"Long","Short")))</f>
        <v/>
      </c>
      <c r="L157" s="20" t="str">
        <f aca="false">IF(K157="","",IF(AND(B157=Lists!$E$5,K157="Long",C157&lt;DATE(2018,2,1),N(I157)&gt;0),MAX(G157,MIN(I157,E157)),IF(AND(C157&lt;DATE(2001,4,1),N(I157)&gt;0,B157&lt;&gt;Lists!$E$5),I157,G157)))</f>
        <v/>
      </c>
      <c r="M157" s="20" t="str">
        <f aca="false">IF(K157="","",E157-F157-L157-H157)</f>
        <v/>
      </c>
      <c r="N157" s="20" t="str">
        <f aca="false">IF(K157="","",IF(AND(K157="Long",B157=Lists!$E$7,C157&lt;DATE(2024,7,23)),ROUND((L157+H157)*INDEX(Lists!$C$5:$C$30,MATCH(MIN(MAX(Lists!$B$5:$B$30),YEAR(D157)-IF(MONTH(D157)&lt;4,1,0)),Lists!$B$5:$B$30,0))/INDEX(Lists!$C$5:$C$30,MATCH(MAX(2001,YEAR(C157)-IF(MONTH(C157)&lt;4,1,0)),Lists!$B$5:$B$30,0)),0),""))</f>
        <v/>
      </c>
      <c r="O157" s="20" t="str">
        <f aca="false">IF(N157="","",E157-F157-N157)</f>
        <v/>
      </c>
      <c r="P157" s="21" t="str">
        <f aca="false">IF(K157="","",IF(K157="Short",IF(B157=Lists!$E$5,"ST 20%","ST slab"),IF(B157=Lists!$E$5,"LT 112A",IF(N157="","LT 12.5%",IF(AND(M157&gt;0,O157*0.2&lt;M157*0.125),"LT 20% indexed","LT 12.5%")))))</f>
        <v/>
      </c>
      <c r="Q157" s="22" t="str">
        <f aca="false">IF(P157="","",IF(P157="LT 20% indexed",MAX(0,O157),M157))</f>
        <v/>
      </c>
    </row>
    <row r="158" customFormat="false" ht="15" hidden="false" customHeight="true" outlineLevel="0" collapsed="false">
      <c r="A158" s="23"/>
      <c r="B158" s="23"/>
      <c r="C158" s="24"/>
      <c r="D158" s="24"/>
      <c r="E158" s="25"/>
      <c r="F158" s="25"/>
      <c r="G158" s="25"/>
      <c r="H158" s="25"/>
      <c r="I158" s="25"/>
      <c r="J158" s="20" t="str">
        <f aca="false">IF(OR(B158="",C158="",D158=""),"",DATEDIF(C158,D158,"m"))</f>
        <v/>
      </c>
      <c r="K158" s="21" t="str">
        <f aca="false">IF(OR(B158="",C158="",D158=""),"",IF(B158=Lists!$E$10,"Short",IF(D158&gt;EDATE(C158,IF(OR(B158=Lists!$E$5,B158=Lists!$E$6),12,24)),"Long","Short")))</f>
        <v/>
      </c>
      <c r="L158" s="20" t="str">
        <f aca="false">IF(K158="","",IF(AND(B158=Lists!$E$5,K158="Long",C158&lt;DATE(2018,2,1),N(I158)&gt;0),MAX(G158,MIN(I158,E158)),IF(AND(C158&lt;DATE(2001,4,1),N(I158)&gt;0,B158&lt;&gt;Lists!$E$5),I158,G158)))</f>
        <v/>
      </c>
      <c r="M158" s="20" t="str">
        <f aca="false">IF(K158="","",E158-F158-L158-H158)</f>
        <v/>
      </c>
      <c r="N158" s="20" t="str">
        <f aca="false">IF(K158="","",IF(AND(K158="Long",B158=Lists!$E$7,C158&lt;DATE(2024,7,23)),ROUND((L158+H158)*INDEX(Lists!$C$5:$C$30,MATCH(MIN(MAX(Lists!$B$5:$B$30),YEAR(D158)-IF(MONTH(D158)&lt;4,1,0)),Lists!$B$5:$B$30,0))/INDEX(Lists!$C$5:$C$30,MATCH(MAX(2001,YEAR(C158)-IF(MONTH(C158)&lt;4,1,0)),Lists!$B$5:$B$30,0)),0),""))</f>
        <v/>
      </c>
      <c r="O158" s="20" t="str">
        <f aca="false">IF(N158="","",E158-F158-N158)</f>
        <v/>
      </c>
      <c r="P158" s="21" t="str">
        <f aca="false">IF(K158="","",IF(K158="Short",IF(B158=Lists!$E$5,"ST 20%","ST slab"),IF(B158=Lists!$E$5,"LT 112A",IF(N158="","LT 12.5%",IF(AND(M158&gt;0,O158*0.2&lt;M158*0.125),"LT 20% indexed","LT 12.5%")))))</f>
        <v/>
      </c>
      <c r="Q158" s="22" t="str">
        <f aca="false">IF(P158="","",IF(P158="LT 20% indexed",MAX(0,O158),M158))</f>
        <v/>
      </c>
    </row>
    <row r="159" customFormat="false" ht="15" hidden="false" customHeight="true" outlineLevel="0" collapsed="false">
      <c r="A159" s="23"/>
      <c r="B159" s="23"/>
      <c r="C159" s="24"/>
      <c r="D159" s="24"/>
      <c r="E159" s="25"/>
      <c r="F159" s="25"/>
      <c r="G159" s="25"/>
      <c r="H159" s="25"/>
      <c r="I159" s="25"/>
      <c r="J159" s="20" t="str">
        <f aca="false">IF(OR(B159="",C159="",D159=""),"",DATEDIF(C159,D159,"m"))</f>
        <v/>
      </c>
      <c r="K159" s="21" t="str">
        <f aca="false">IF(OR(B159="",C159="",D159=""),"",IF(B159=Lists!$E$10,"Short",IF(D159&gt;EDATE(C159,IF(OR(B159=Lists!$E$5,B159=Lists!$E$6),12,24)),"Long","Short")))</f>
        <v/>
      </c>
      <c r="L159" s="20" t="str">
        <f aca="false">IF(K159="","",IF(AND(B159=Lists!$E$5,K159="Long",C159&lt;DATE(2018,2,1),N(I159)&gt;0),MAX(G159,MIN(I159,E159)),IF(AND(C159&lt;DATE(2001,4,1),N(I159)&gt;0,B159&lt;&gt;Lists!$E$5),I159,G159)))</f>
        <v/>
      </c>
      <c r="M159" s="20" t="str">
        <f aca="false">IF(K159="","",E159-F159-L159-H159)</f>
        <v/>
      </c>
      <c r="N159" s="20" t="str">
        <f aca="false">IF(K159="","",IF(AND(K159="Long",B159=Lists!$E$7,C159&lt;DATE(2024,7,23)),ROUND((L159+H159)*INDEX(Lists!$C$5:$C$30,MATCH(MIN(MAX(Lists!$B$5:$B$30),YEAR(D159)-IF(MONTH(D159)&lt;4,1,0)),Lists!$B$5:$B$30,0))/INDEX(Lists!$C$5:$C$30,MATCH(MAX(2001,YEAR(C159)-IF(MONTH(C159)&lt;4,1,0)),Lists!$B$5:$B$30,0)),0),""))</f>
        <v/>
      </c>
      <c r="O159" s="20" t="str">
        <f aca="false">IF(N159="","",E159-F159-N159)</f>
        <v/>
      </c>
      <c r="P159" s="21" t="str">
        <f aca="false">IF(K159="","",IF(K159="Short",IF(B159=Lists!$E$5,"ST 20%","ST slab"),IF(B159=Lists!$E$5,"LT 112A",IF(N159="","LT 12.5%",IF(AND(M159&gt;0,O159*0.2&lt;M159*0.125),"LT 20% indexed","LT 12.5%")))))</f>
        <v/>
      </c>
      <c r="Q159" s="22" t="str">
        <f aca="false">IF(P159="","",IF(P159="LT 20% indexed",MAX(0,O159),M159))</f>
        <v/>
      </c>
    </row>
    <row r="160" customFormat="false" ht="15" hidden="false" customHeight="true" outlineLevel="0" collapsed="false">
      <c r="A160" s="23"/>
      <c r="B160" s="23"/>
      <c r="C160" s="24"/>
      <c r="D160" s="24"/>
      <c r="E160" s="25"/>
      <c r="F160" s="25"/>
      <c r="G160" s="25"/>
      <c r="H160" s="25"/>
      <c r="I160" s="25"/>
      <c r="J160" s="20" t="str">
        <f aca="false">IF(OR(B160="",C160="",D160=""),"",DATEDIF(C160,D160,"m"))</f>
        <v/>
      </c>
      <c r="K160" s="21" t="str">
        <f aca="false">IF(OR(B160="",C160="",D160=""),"",IF(B160=Lists!$E$10,"Short",IF(D160&gt;EDATE(C160,IF(OR(B160=Lists!$E$5,B160=Lists!$E$6),12,24)),"Long","Short")))</f>
        <v/>
      </c>
      <c r="L160" s="20" t="str">
        <f aca="false">IF(K160="","",IF(AND(B160=Lists!$E$5,K160="Long",C160&lt;DATE(2018,2,1),N(I160)&gt;0),MAX(G160,MIN(I160,E160)),IF(AND(C160&lt;DATE(2001,4,1),N(I160)&gt;0,B160&lt;&gt;Lists!$E$5),I160,G160)))</f>
        <v/>
      </c>
      <c r="M160" s="20" t="str">
        <f aca="false">IF(K160="","",E160-F160-L160-H160)</f>
        <v/>
      </c>
      <c r="N160" s="20" t="str">
        <f aca="false">IF(K160="","",IF(AND(K160="Long",B160=Lists!$E$7,C160&lt;DATE(2024,7,23)),ROUND((L160+H160)*INDEX(Lists!$C$5:$C$30,MATCH(MIN(MAX(Lists!$B$5:$B$30),YEAR(D160)-IF(MONTH(D160)&lt;4,1,0)),Lists!$B$5:$B$30,0))/INDEX(Lists!$C$5:$C$30,MATCH(MAX(2001,YEAR(C160)-IF(MONTH(C160)&lt;4,1,0)),Lists!$B$5:$B$30,0)),0),""))</f>
        <v/>
      </c>
      <c r="O160" s="20" t="str">
        <f aca="false">IF(N160="","",E160-F160-N160)</f>
        <v/>
      </c>
      <c r="P160" s="21" t="str">
        <f aca="false">IF(K160="","",IF(K160="Short",IF(B160=Lists!$E$5,"ST 20%","ST slab"),IF(B160=Lists!$E$5,"LT 112A",IF(N160="","LT 12.5%",IF(AND(M160&gt;0,O160*0.2&lt;M160*0.125),"LT 20% indexed","LT 12.5%")))))</f>
        <v/>
      </c>
      <c r="Q160" s="22" t="str">
        <f aca="false">IF(P160="","",IF(P160="LT 20% indexed",MAX(0,O160),M160))</f>
        <v/>
      </c>
    </row>
    <row r="161" customFormat="false" ht="15" hidden="false" customHeight="true" outlineLevel="0" collapsed="false">
      <c r="A161" s="23"/>
      <c r="B161" s="23"/>
      <c r="C161" s="24"/>
      <c r="D161" s="24"/>
      <c r="E161" s="25"/>
      <c r="F161" s="25"/>
      <c r="G161" s="25"/>
      <c r="H161" s="25"/>
      <c r="I161" s="25"/>
      <c r="J161" s="20" t="str">
        <f aca="false">IF(OR(B161="",C161="",D161=""),"",DATEDIF(C161,D161,"m"))</f>
        <v/>
      </c>
      <c r="K161" s="21" t="str">
        <f aca="false">IF(OR(B161="",C161="",D161=""),"",IF(B161=Lists!$E$10,"Short",IF(D161&gt;EDATE(C161,IF(OR(B161=Lists!$E$5,B161=Lists!$E$6),12,24)),"Long","Short")))</f>
        <v/>
      </c>
      <c r="L161" s="20" t="str">
        <f aca="false">IF(K161="","",IF(AND(B161=Lists!$E$5,K161="Long",C161&lt;DATE(2018,2,1),N(I161)&gt;0),MAX(G161,MIN(I161,E161)),IF(AND(C161&lt;DATE(2001,4,1),N(I161)&gt;0,B161&lt;&gt;Lists!$E$5),I161,G161)))</f>
        <v/>
      </c>
      <c r="M161" s="20" t="str">
        <f aca="false">IF(K161="","",E161-F161-L161-H161)</f>
        <v/>
      </c>
      <c r="N161" s="20" t="str">
        <f aca="false">IF(K161="","",IF(AND(K161="Long",B161=Lists!$E$7,C161&lt;DATE(2024,7,23)),ROUND((L161+H161)*INDEX(Lists!$C$5:$C$30,MATCH(MIN(MAX(Lists!$B$5:$B$30),YEAR(D161)-IF(MONTH(D161)&lt;4,1,0)),Lists!$B$5:$B$30,0))/INDEX(Lists!$C$5:$C$30,MATCH(MAX(2001,YEAR(C161)-IF(MONTH(C161)&lt;4,1,0)),Lists!$B$5:$B$30,0)),0),""))</f>
        <v/>
      </c>
      <c r="O161" s="20" t="str">
        <f aca="false">IF(N161="","",E161-F161-N161)</f>
        <v/>
      </c>
      <c r="P161" s="21" t="str">
        <f aca="false">IF(K161="","",IF(K161="Short",IF(B161=Lists!$E$5,"ST 20%","ST slab"),IF(B161=Lists!$E$5,"LT 112A",IF(N161="","LT 12.5%",IF(AND(M161&gt;0,O161*0.2&lt;M161*0.125),"LT 20% indexed","LT 12.5%")))))</f>
        <v/>
      </c>
      <c r="Q161" s="22" t="str">
        <f aca="false">IF(P161="","",IF(P161="LT 20% indexed",MAX(0,O161),M161))</f>
        <v/>
      </c>
    </row>
    <row r="162" customFormat="false" ht="15" hidden="false" customHeight="true" outlineLevel="0" collapsed="false">
      <c r="A162" s="23"/>
      <c r="B162" s="23"/>
      <c r="C162" s="24"/>
      <c r="D162" s="24"/>
      <c r="E162" s="25"/>
      <c r="F162" s="25"/>
      <c r="G162" s="25"/>
      <c r="H162" s="25"/>
      <c r="I162" s="25"/>
      <c r="J162" s="20" t="str">
        <f aca="false">IF(OR(B162="",C162="",D162=""),"",DATEDIF(C162,D162,"m"))</f>
        <v/>
      </c>
      <c r="K162" s="21" t="str">
        <f aca="false">IF(OR(B162="",C162="",D162=""),"",IF(B162=Lists!$E$10,"Short",IF(D162&gt;EDATE(C162,IF(OR(B162=Lists!$E$5,B162=Lists!$E$6),12,24)),"Long","Short")))</f>
        <v/>
      </c>
      <c r="L162" s="20" t="str">
        <f aca="false">IF(K162="","",IF(AND(B162=Lists!$E$5,K162="Long",C162&lt;DATE(2018,2,1),N(I162)&gt;0),MAX(G162,MIN(I162,E162)),IF(AND(C162&lt;DATE(2001,4,1),N(I162)&gt;0,B162&lt;&gt;Lists!$E$5),I162,G162)))</f>
        <v/>
      </c>
      <c r="M162" s="20" t="str">
        <f aca="false">IF(K162="","",E162-F162-L162-H162)</f>
        <v/>
      </c>
      <c r="N162" s="20" t="str">
        <f aca="false">IF(K162="","",IF(AND(K162="Long",B162=Lists!$E$7,C162&lt;DATE(2024,7,23)),ROUND((L162+H162)*INDEX(Lists!$C$5:$C$30,MATCH(MIN(MAX(Lists!$B$5:$B$30),YEAR(D162)-IF(MONTH(D162)&lt;4,1,0)),Lists!$B$5:$B$30,0))/INDEX(Lists!$C$5:$C$30,MATCH(MAX(2001,YEAR(C162)-IF(MONTH(C162)&lt;4,1,0)),Lists!$B$5:$B$30,0)),0),""))</f>
        <v/>
      </c>
      <c r="O162" s="20" t="str">
        <f aca="false">IF(N162="","",E162-F162-N162)</f>
        <v/>
      </c>
      <c r="P162" s="21" t="str">
        <f aca="false">IF(K162="","",IF(K162="Short",IF(B162=Lists!$E$5,"ST 20%","ST slab"),IF(B162=Lists!$E$5,"LT 112A",IF(N162="","LT 12.5%",IF(AND(M162&gt;0,O162*0.2&lt;M162*0.125),"LT 20% indexed","LT 12.5%")))))</f>
        <v/>
      </c>
      <c r="Q162" s="22" t="str">
        <f aca="false">IF(P162="","",IF(P162="LT 20% indexed",MAX(0,O162),M162))</f>
        <v/>
      </c>
    </row>
    <row r="163" customFormat="false" ht="15" hidden="false" customHeight="true" outlineLevel="0" collapsed="false">
      <c r="A163" s="23"/>
      <c r="B163" s="23"/>
      <c r="C163" s="24"/>
      <c r="D163" s="24"/>
      <c r="E163" s="25"/>
      <c r="F163" s="25"/>
      <c r="G163" s="25"/>
      <c r="H163" s="25"/>
      <c r="I163" s="25"/>
      <c r="J163" s="20" t="str">
        <f aca="false">IF(OR(B163="",C163="",D163=""),"",DATEDIF(C163,D163,"m"))</f>
        <v/>
      </c>
      <c r="K163" s="21" t="str">
        <f aca="false">IF(OR(B163="",C163="",D163=""),"",IF(B163=Lists!$E$10,"Short",IF(D163&gt;EDATE(C163,IF(OR(B163=Lists!$E$5,B163=Lists!$E$6),12,24)),"Long","Short")))</f>
        <v/>
      </c>
      <c r="L163" s="20" t="str">
        <f aca="false">IF(K163="","",IF(AND(B163=Lists!$E$5,K163="Long",C163&lt;DATE(2018,2,1),N(I163)&gt;0),MAX(G163,MIN(I163,E163)),IF(AND(C163&lt;DATE(2001,4,1),N(I163)&gt;0,B163&lt;&gt;Lists!$E$5),I163,G163)))</f>
        <v/>
      </c>
      <c r="M163" s="20" t="str">
        <f aca="false">IF(K163="","",E163-F163-L163-H163)</f>
        <v/>
      </c>
      <c r="N163" s="20" t="str">
        <f aca="false">IF(K163="","",IF(AND(K163="Long",B163=Lists!$E$7,C163&lt;DATE(2024,7,23)),ROUND((L163+H163)*INDEX(Lists!$C$5:$C$30,MATCH(MIN(MAX(Lists!$B$5:$B$30),YEAR(D163)-IF(MONTH(D163)&lt;4,1,0)),Lists!$B$5:$B$30,0))/INDEX(Lists!$C$5:$C$30,MATCH(MAX(2001,YEAR(C163)-IF(MONTH(C163)&lt;4,1,0)),Lists!$B$5:$B$30,0)),0),""))</f>
        <v/>
      </c>
      <c r="O163" s="20" t="str">
        <f aca="false">IF(N163="","",E163-F163-N163)</f>
        <v/>
      </c>
      <c r="P163" s="21" t="str">
        <f aca="false">IF(K163="","",IF(K163="Short",IF(B163=Lists!$E$5,"ST 20%","ST slab"),IF(B163=Lists!$E$5,"LT 112A",IF(N163="","LT 12.5%",IF(AND(M163&gt;0,O163*0.2&lt;M163*0.125),"LT 20% indexed","LT 12.5%")))))</f>
        <v/>
      </c>
      <c r="Q163" s="22" t="str">
        <f aca="false">IF(P163="","",IF(P163="LT 20% indexed",MAX(0,O163),M163))</f>
        <v/>
      </c>
    </row>
    <row r="164" customFormat="false" ht="15" hidden="false" customHeight="true" outlineLevel="0" collapsed="false">
      <c r="A164" s="23"/>
      <c r="B164" s="23"/>
      <c r="C164" s="24"/>
      <c r="D164" s="24"/>
      <c r="E164" s="25"/>
      <c r="F164" s="25"/>
      <c r="G164" s="25"/>
      <c r="H164" s="25"/>
      <c r="I164" s="25"/>
      <c r="J164" s="20" t="str">
        <f aca="false">IF(OR(B164="",C164="",D164=""),"",DATEDIF(C164,D164,"m"))</f>
        <v/>
      </c>
      <c r="K164" s="21" t="str">
        <f aca="false">IF(OR(B164="",C164="",D164=""),"",IF(B164=Lists!$E$10,"Short",IF(D164&gt;EDATE(C164,IF(OR(B164=Lists!$E$5,B164=Lists!$E$6),12,24)),"Long","Short")))</f>
        <v/>
      </c>
      <c r="L164" s="20" t="str">
        <f aca="false">IF(K164="","",IF(AND(B164=Lists!$E$5,K164="Long",C164&lt;DATE(2018,2,1),N(I164)&gt;0),MAX(G164,MIN(I164,E164)),IF(AND(C164&lt;DATE(2001,4,1),N(I164)&gt;0,B164&lt;&gt;Lists!$E$5),I164,G164)))</f>
        <v/>
      </c>
      <c r="M164" s="20" t="str">
        <f aca="false">IF(K164="","",E164-F164-L164-H164)</f>
        <v/>
      </c>
      <c r="N164" s="20" t="str">
        <f aca="false">IF(K164="","",IF(AND(K164="Long",B164=Lists!$E$7,C164&lt;DATE(2024,7,23)),ROUND((L164+H164)*INDEX(Lists!$C$5:$C$30,MATCH(MIN(MAX(Lists!$B$5:$B$30),YEAR(D164)-IF(MONTH(D164)&lt;4,1,0)),Lists!$B$5:$B$30,0))/INDEX(Lists!$C$5:$C$30,MATCH(MAX(2001,YEAR(C164)-IF(MONTH(C164)&lt;4,1,0)),Lists!$B$5:$B$30,0)),0),""))</f>
        <v/>
      </c>
      <c r="O164" s="20" t="str">
        <f aca="false">IF(N164="","",E164-F164-N164)</f>
        <v/>
      </c>
      <c r="P164" s="21" t="str">
        <f aca="false">IF(K164="","",IF(K164="Short",IF(B164=Lists!$E$5,"ST 20%","ST slab"),IF(B164=Lists!$E$5,"LT 112A",IF(N164="","LT 12.5%",IF(AND(M164&gt;0,O164*0.2&lt;M164*0.125),"LT 20% indexed","LT 12.5%")))))</f>
        <v/>
      </c>
      <c r="Q164" s="22" t="str">
        <f aca="false">IF(P164="","",IF(P164="LT 20% indexed",MAX(0,O164),M164))</f>
        <v/>
      </c>
    </row>
    <row r="165" customFormat="false" ht="15" hidden="false" customHeight="true" outlineLevel="0" collapsed="false">
      <c r="A165" s="23"/>
      <c r="B165" s="23"/>
      <c r="C165" s="24"/>
      <c r="D165" s="24"/>
      <c r="E165" s="25"/>
      <c r="F165" s="25"/>
      <c r="G165" s="25"/>
      <c r="H165" s="25"/>
      <c r="I165" s="25"/>
      <c r="J165" s="20" t="str">
        <f aca="false">IF(OR(B165="",C165="",D165=""),"",DATEDIF(C165,D165,"m"))</f>
        <v/>
      </c>
      <c r="K165" s="21" t="str">
        <f aca="false">IF(OR(B165="",C165="",D165=""),"",IF(B165=Lists!$E$10,"Short",IF(D165&gt;EDATE(C165,IF(OR(B165=Lists!$E$5,B165=Lists!$E$6),12,24)),"Long","Short")))</f>
        <v/>
      </c>
      <c r="L165" s="20" t="str">
        <f aca="false">IF(K165="","",IF(AND(B165=Lists!$E$5,K165="Long",C165&lt;DATE(2018,2,1),N(I165)&gt;0),MAX(G165,MIN(I165,E165)),IF(AND(C165&lt;DATE(2001,4,1),N(I165)&gt;0,B165&lt;&gt;Lists!$E$5),I165,G165)))</f>
        <v/>
      </c>
      <c r="M165" s="20" t="str">
        <f aca="false">IF(K165="","",E165-F165-L165-H165)</f>
        <v/>
      </c>
      <c r="N165" s="20" t="str">
        <f aca="false">IF(K165="","",IF(AND(K165="Long",B165=Lists!$E$7,C165&lt;DATE(2024,7,23)),ROUND((L165+H165)*INDEX(Lists!$C$5:$C$30,MATCH(MIN(MAX(Lists!$B$5:$B$30),YEAR(D165)-IF(MONTH(D165)&lt;4,1,0)),Lists!$B$5:$B$30,0))/INDEX(Lists!$C$5:$C$30,MATCH(MAX(2001,YEAR(C165)-IF(MONTH(C165)&lt;4,1,0)),Lists!$B$5:$B$30,0)),0),""))</f>
        <v/>
      </c>
      <c r="O165" s="20" t="str">
        <f aca="false">IF(N165="","",E165-F165-N165)</f>
        <v/>
      </c>
      <c r="P165" s="21" t="str">
        <f aca="false">IF(K165="","",IF(K165="Short",IF(B165=Lists!$E$5,"ST 20%","ST slab"),IF(B165=Lists!$E$5,"LT 112A",IF(N165="","LT 12.5%",IF(AND(M165&gt;0,O165*0.2&lt;M165*0.125),"LT 20% indexed","LT 12.5%")))))</f>
        <v/>
      </c>
      <c r="Q165" s="22" t="str">
        <f aca="false">IF(P165="","",IF(P165="LT 20% indexed",MAX(0,O165),M165))</f>
        <v/>
      </c>
    </row>
    <row r="166" customFormat="false" ht="15" hidden="false" customHeight="true" outlineLevel="0" collapsed="false">
      <c r="A166" s="23"/>
      <c r="B166" s="23"/>
      <c r="C166" s="24"/>
      <c r="D166" s="24"/>
      <c r="E166" s="25"/>
      <c r="F166" s="25"/>
      <c r="G166" s="25"/>
      <c r="H166" s="25"/>
      <c r="I166" s="25"/>
      <c r="J166" s="20" t="str">
        <f aca="false">IF(OR(B166="",C166="",D166=""),"",DATEDIF(C166,D166,"m"))</f>
        <v/>
      </c>
      <c r="K166" s="21" t="str">
        <f aca="false">IF(OR(B166="",C166="",D166=""),"",IF(B166=Lists!$E$10,"Short",IF(D166&gt;EDATE(C166,IF(OR(B166=Lists!$E$5,B166=Lists!$E$6),12,24)),"Long","Short")))</f>
        <v/>
      </c>
      <c r="L166" s="20" t="str">
        <f aca="false">IF(K166="","",IF(AND(B166=Lists!$E$5,K166="Long",C166&lt;DATE(2018,2,1),N(I166)&gt;0),MAX(G166,MIN(I166,E166)),IF(AND(C166&lt;DATE(2001,4,1),N(I166)&gt;0,B166&lt;&gt;Lists!$E$5),I166,G166)))</f>
        <v/>
      </c>
      <c r="M166" s="20" t="str">
        <f aca="false">IF(K166="","",E166-F166-L166-H166)</f>
        <v/>
      </c>
      <c r="N166" s="20" t="str">
        <f aca="false">IF(K166="","",IF(AND(K166="Long",B166=Lists!$E$7,C166&lt;DATE(2024,7,23)),ROUND((L166+H166)*INDEX(Lists!$C$5:$C$30,MATCH(MIN(MAX(Lists!$B$5:$B$30),YEAR(D166)-IF(MONTH(D166)&lt;4,1,0)),Lists!$B$5:$B$30,0))/INDEX(Lists!$C$5:$C$30,MATCH(MAX(2001,YEAR(C166)-IF(MONTH(C166)&lt;4,1,0)),Lists!$B$5:$B$30,0)),0),""))</f>
        <v/>
      </c>
      <c r="O166" s="20" t="str">
        <f aca="false">IF(N166="","",E166-F166-N166)</f>
        <v/>
      </c>
      <c r="P166" s="21" t="str">
        <f aca="false">IF(K166="","",IF(K166="Short",IF(B166=Lists!$E$5,"ST 20%","ST slab"),IF(B166=Lists!$E$5,"LT 112A",IF(N166="","LT 12.5%",IF(AND(M166&gt;0,O166*0.2&lt;M166*0.125),"LT 20% indexed","LT 12.5%")))))</f>
        <v/>
      </c>
      <c r="Q166" s="22" t="str">
        <f aca="false">IF(P166="","",IF(P166="LT 20% indexed",MAX(0,O166),M166))</f>
        <v/>
      </c>
    </row>
    <row r="167" customFormat="false" ht="15" hidden="false" customHeight="true" outlineLevel="0" collapsed="false">
      <c r="A167" s="23"/>
      <c r="B167" s="23"/>
      <c r="C167" s="24"/>
      <c r="D167" s="24"/>
      <c r="E167" s="25"/>
      <c r="F167" s="25"/>
      <c r="G167" s="25"/>
      <c r="H167" s="25"/>
      <c r="I167" s="25"/>
      <c r="J167" s="20" t="str">
        <f aca="false">IF(OR(B167="",C167="",D167=""),"",DATEDIF(C167,D167,"m"))</f>
        <v/>
      </c>
      <c r="K167" s="21" t="str">
        <f aca="false">IF(OR(B167="",C167="",D167=""),"",IF(B167=Lists!$E$10,"Short",IF(D167&gt;EDATE(C167,IF(OR(B167=Lists!$E$5,B167=Lists!$E$6),12,24)),"Long","Short")))</f>
        <v/>
      </c>
      <c r="L167" s="20" t="str">
        <f aca="false">IF(K167="","",IF(AND(B167=Lists!$E$5,K167="Long",C167&lt;DATE(2018,2,1),N(I167)&gt;0),MAX(G167,MIN(I167,E167)),IF(AND(C167&lt;DATE(2001,4,1),N(I167)&gt;0,B167&lt;&gt;Lists!$E$5),I167,G167)))</f>
        <v/>
      </c>
      <c r="M167" s="20" t="str">
        <f aca="false">IF(K167="","",E167-F167-L167-H167)</f>
        <v/>
      </c>
      <c r="N167" s="20" t="str">
        <f aca="false">IF(K167="","",IF(AND(K167="Long",B167=Lists!$E$7,C167&lt;DATE(2024,7,23)),ROUND((L167+H167)*INDEX(Lists!$C$5:$C$30,MATCH(MIN(MAX(Lists!$B$5:$B$30),YEAR(D167)-IF(MONTH(D167)&lt;4,1,0)),Lists!$B$5:$B$30,0))/INDEX(Lists!$C$5:$C$30,MATCH(MAX(2001,YEAR(C167)-IF(MONTH(C167)&lt;4,1,0)),Lists!$B$5:$B$30,0)),0),""))</f>
        <v/>
      </c>
      <c r="O167" s="20" t="str">
        <f aca="false">IF(N167="","",E167-F167-N167)</f>
        <v/>
      </c>
      <c r="P167" s="21" t="str">
        <f aca="false">IF(K167="","",IF(K167="Short",IF(B167=Lists!$E$5,"ST 20%","ST slab"),IF(B167=Lists!$E$5,"LT 112A",IF(N167="","LT 12.5%",IF(AND(M167&gt;0,O167*0.2&lt;M167*0.125),"LT 20% indexed","LT 12.5%")))))</f>
        <v/>
      </c>
      <c r="Q167" s="22" t="str">
        <f aca="false">IF(P167="","",IF(P167="LT 20% indexed",MAX(0,O167),M167))</f>
        <v/>
      </c>
    </row>
    <row r="168" customFormat="false" ht="15" hidden="false" customHeight="true" outlineLevel="0" collapsed="false">
      <c r="A168" s="23"/>
      <c r="B168" s="23"/>
      <c r="C168" s="24"/>
      <c r="D168" s="24"/>
      <c r="E168" s="25"/>
      <c r="F168" s="25"/>
      <c r="G168" s="25"/>
      <c r="H168" s="25"/>
      <c r="I168" s="25"/>
      <c r="J168" s="20" t="str">
        <f aca="false">IF(OR(B168="",C168="",D168=""),"",DATEDIF(C168,D168,"m"))</f>
        <v/>
      </c>
      <c r="K168" s="21" t="str">
        <f aca="false">IF(OR(B168="",C168="",D168=""),"",IF(B168=Lists!$E$10,"Short",IF(D168&gt;EDATE(C168,IF(OR(B168=Lists!$E$5,B168=Lists!$E$6),12,24)),"Long","Short")))</f>
        <v/>
      </c>
      <c r="L168" s="20" t="str">
        <f aca="false">IF(K168="","",IF(AND(B168=Lists!$E$5,K168="Long",C168&lt;DATE(2018,2,1),N(I168)&gt;0),MAX(G168,MIN(I168,E168)),IF(AND(C168&lt;DATE(2001,4,1),N(I168)&gt;0,B168&lt;&gt;Lists!$E$5),I168,G168)))</f>
        <v/>
      </c>
      <c r="M168" s="20" t="str">
        <f aca="false">IF(K168="","",E168-F168-L168-H168)</f>
        <v/>
      </c>
      <c r="N168" s="20" t="str">
        <f aca="false">IF(K168="","",IF(AND(K168="Long",B168=Lists!$E$7,C168&lt;DATE(2024,7,23)),ROUND((L168+H168)*INDEX(Lists!$C$5:$C$30,MATCH(MIN(MAX(Lists!$B$5:$B$30),YEAR(D168)-IF(MONTH(D168)&lt;4,1,0)),Lists!$B$5:$B$30,0))/INDEX(Lists!$C$5:$C$30,MATCH(MAX(2001,YEAR(C168)-IF(MONTH(C168)&lt;4,1,0)),Lists!$B$5:$B$30,0)),0),""))</f>
        <v/>
      </c>
      <c r="O168" s="20" t="str">
        <f aca="false">IF(N168="","",E168-F168-N168)</f>
        <v/>
      </c>
      <c r="P168" s="21" t="str">
        <f aca="false">IF(K168="","",IF(K168="Short",IF(B168=Lists!$E$5,"ST 20%","ST slab"),IF(B168=Lists!$E$5,"LT 112A",IF(N168="","LT 12.5%",IF(AND(M168&gt;0,O168*0.2&lt;M168*0.125),"LT 20% indexed","LT 12.5%")))))</f>
        <v/>
      </c>
      <c r="Q168" s="22" t="str">
        <f aca="false">IF(P168="","",IF(P168="LT 20% indexed",MAX(0,O168),M168))</f>
        <v/>
      </c>
    </row>
    <row r="169" customFormat="false" ht="15" hidden="false" customHeight="true" outlineLevel="0" collapsed="false">
      <c r="A169" s="23"/>
      <c r="B169" s="23"/>
      <c r="C169" s="24"/>
      <c r="D169" s="24"/>
      <c r="E169" s="25"/>
      <c r="F169" s="25"/>
      <c r="G169" s="25"/>
      <c r="H169" s="25"/>
      <c r="I169" s="25"/>
      <c r="J169" s="20" t="str">
        <f aca="false">IF(OR(B169="",C169="",D169=""),"",DATEDIF(C169,D169,"m"))</f>
        <v/>
      </c>
      <c r="K169" s="21" t="str">
        <f aca="false">IF(OR(B169="",C169="",D169=""),"",IF(B169=Lists!$E$10,"Short",IF(D169&gt;EDATE(C169,IF(OR(B169=Lists!$E$5,B169=Lists!$E$6),12,24)),"Long","Short")))</f>
        <v/>
      </c>
      <c r="L169" s="20" t="str">
        <f aca="false">IF(K169="","",IF(AND(B169=Lists!$E$5,K169="Long",C169&lt;DATE(2018,2,1),N(I169)&gt;0),MAX(G169,MIN(I169,E169)),IF(AND(C169&lt;DATE(2001,4,1),N(I169)&gt;0,B169&lt;&gt;Lists!$E$5),I169,G169)))</f>
        <v/>
      </c>
      <c r="M169" s="20" t="str">
        <f aca="false">IF(K169="","",E169-F169-L169-H169)</f>
        <v/>
      </c>
      <c r="N169" s="20" t="str">
        <f aca="false">IF(K169="","",IF(AND(K169="Long",B169=Lists!$E$7,C169&lt;DATE(2024,7,23)),ROUND((L169+H169)*INDEX(Lists!$C$5:$C$30,MATCH(MIN(MAX(Lists!$B$5:$B$30),YEAR(D169)-IF(MONTH(D169)&lt;4,1,0)),Lists!$B$5:$B$30,0))/INDEX(Lists!$C$5:$C$30,MATCH(MAX(2001,YEAR(C169)-IF(MONTH(C169)&lt;4,1,0)),Lists!$B$5:$B$30,0)),0),""))</f>
        <v/>
      </c>
      <c r="O169" s="20" t="str">
        <f aca="false">IF(N169="","",E169-F169-N169)</f>
        <v/>
      </c>
      <c r="P169" s="21" t="str">
        <f aca="false">IF(K169="","",IF(K169="Short",IF(B169=Lists!$E$5,"ST 20%","ST slab"),IF(B169=Lists!$E$5,"LT 112A",IF(N169="","LT 12.5%",IF(AND(M169&gt;0,O169*0.2&lt;M169*0.125),"LT 20% indexed","LT 12.5%")))))</f>
        <v/>
      </c>
      <c r="Q169" s="22" t="str">
        <f aca="false">IF(P169="","",IF(P169="LT 20% indexed",MAX(0,O169),M169))</f>
        <v/>
      </c>
    </row>
    <row r="170" customFormat="false" ht="15" hidden="false" customHeight="true" outlineLevel="0" collapsed="false">
      <c r="A170" s="23"/>
      <c r="B170" s="23"/>
      <c r="C170" s="24"/>
      <c r="D170" s="24"/>
      <c r="E170" s="25"/>
      <c r="F170" s="25"/>
      <c r="G170" s="25"/>
      <c r="H170" s="25"/>
      <c r="I170" s="25"/>
      <c r="J170" s="20" t="str">
        <f aca="false">IF(OR(B170="",C170="",D170=""),"",DATEDIF(C170,D170,"m"))</f>
        <v/>
      </c>
      <c r="K170" s="21" t="str">
        <f aca="false">IF(OR(B170="",C170="",D170=""),"",IF(B170=Lists!$E$10,"Short",IF(D170&gt;EDATE(C170,IF(OR(B170=Lists!$E$5,B170=Lists!$E$6),12,24)),"Long","Short")))</f>
        <v/>
      </c>
      <c r="L170" s="20" t="str">
        <f aca="false">IF(K170="","",IF(AND(B170=Lists!$E$5,K170="Long",C170&lt;DATE(2018,2,1),N(I170)&gt;0),MAX(G170,MIN(I170,E170)),IF(AND(C170&lt;DATE(2001,4,1),N(I170)&gt;0,B170&lt;&gt;Lists!$E$5),I170,G170)))</f>
        <v/>
      </c>
      <c r="M170" s="20" t="str">
        <f aca="false">IF(K170="","",E170-F170-L170-H170)</f>
        <v/>
      </c>
      <c r="N170" s="20" t="str">
        <f aca="false">IF(K170="","",IF(AND(K170="Long",B170=Lists!$E$7,C170&lt;DATE(2024,7,23)),ROUND((L170+H170)*INDEX(Lists!$C$5:$C$30,MATCH(MIN(MAX(Lists!$B$5:$B$30),YEAR(D170)-IF(MONTH(D170)&lt;4,1,0)),Lists!$B$5:$B$30,0))/INDEX(Lists!$C$5:$C$30,MATCH(MAX(2001,YEAR(C170)-IF(MONTH(C170)&lt;4,1,0)),Lists!$B$5:$B$30,0)),0),""))</f>
        <v/>
      </c>
      <c r="O170" s="20" t="str">
        <f aca="false">IF(N170="","",E170-F170-N170)</f>
        <v/>
      </c>
      <c r="P170" s="21" t="str">
        <f aca="false">IF(K170="","",IF(K170="Short",IF(B170=Lists!$E$5,"ST 20%","ST slab"),IF(B170=Lists!$E$5,"LT 112A",IF(N170="","LT 12.5%",IF(AND(M170&gt;0,O170*0.2&lt;M170*0.125),"LT 20% indexed","LT 12.5%")))))</f>
        <v/>
      </c>
      <c r="Q170" s="22" t="str">
        <f aca="false">IF(P170="","",IF(P170="LT 20% indexed",MAX(0,O170),M170))</f>
        <v/>
      </c>
    </row>
    <row r="171" customFormat="false" ht="15" hidden="false" customHeight="true" outlineLevel="0" collapsed="false">
      <c r="A171" s="23"/>
      <c r="B171" s="23"/>
      <c r="C171" s="24"/>
      <c r="D171" s="24"/>
      <c r="E171" s="25"/>
      <c r="F171" s="25"/>
      <c r="G171" s="25"/>
      <c r="H171" s="25"/>
      <c r="I171" s="25"/>
      <c r="J171" s="20" t="str">
        <f aca="false">IF(OR(B171="",C171="",D171=""),"",DATEDIF(C171,D171,"m"))</f>
        <v/>
      </c>
      <c r="K171" s="21" t="str">
        <f aca="false">IF(OR(B171="",C171="",D171=""),"",IF(B171=Lists!$E$10,"Short",IF(D171&gt;EDATE(C171,IF(OR(B171=Lists!$E$5,B171=Lists!$E$6),12,24)),"Long","Short")))</f>
        <v/>
      </c>
      <c r="L171" s="20" t="str">
        <f aca="false">IF(K171="","",IF(AND(B171=Lists!$E$5,K171="Long",C171&lt;DATE(2018,2,1),N(I171)&gt;0),MAX(G171,MIN(I171,E171)),IF(AND(C171&lt;DATE(2001,4,1),N(I171)&gt;0,B171&lt;&gt;Lists!$E$5),I171,G171)))</f>
        <v/>
      </c>
      <c r="M171" s="20" t="str">
        <f aca="false">IF(K171="","",E171-F171-L171-H171)</f>
        <v/>
      </c>
      <c r="N171" s="20" t="str">
        <f aca="false">IF(K171="","",IF(AND(K171="Long",B171=Lists!$E$7,C171&lt;DATE(2024,7,23)),ROUND((L171+H171)*INDEX(Lists!$C$5:$C$30,MATCH(MIN(MAX(Lists!$B$5:$B$30),YEAR(D171)-IF(MONTH(D171)&lt;4,1,0)),Lists!$B$5:$B$30,0))/INDEX(Lists!$C$5:$C$30,MATCH(MAX(2001,YEAR(C171)-IF(MONTH(C171)&lt;4,1,0)),Lists!$B$5:$B$30,0)),0),""))</f>
        <v/>
      </c>
      <c r="O171" s="20" t="str">
        <f aca="false">IF(N171="","",E171-F171-N171)</f>
        <v/>
      </c>
      <c r="P171" s="21" t="str">
        <f aca="false">IF(K171="","",IF(K171="Short",IF(B171=Lists!$E$5,"ST 20%","ST slab"),IF(B171=Lists!$E$5,"LT 112A",IF(N171="","LT 12.5%",IF(AND(M171&gt;0,O171*0.2&lt;M171*0.125),"LT 20% indexed","LT 12.5%")))))</f>
        <v/>
      </c>
      <c r="Q171" s="22" t="str">
        <f aca="false">IF(P171="","",IF(P171="LT 20% indexed",MAX(0,O171),M171))</f>
        <v/>
      </c>
    </row>
    <row r="172" customFormat="false" ht="15" hidden="false" customHeight="true" outlineLevel="0" collapsed="false">
      <c r="A172" s="23"/>
      <c r="B172" s="23"/>
      <c r="C172" s="24"/>
      <c r="D172" s="24"/>
      <c r="E172" s="25"/>
      <c r="F172" s="25"/>
      <c r="G172" s="25"/>
      <c r="H172" s="25"/>
      <c r="I172" s="25"/>
      <c r="J172" s="20" t="str">
        <f aca="false">IF(OR(B172="",C172="",D172=""),"",DATEDIF(C172,D172,"m"))</f>
        <v/>
      </c>
      <c r="K172" s="21" t="str">
        <f aca="false">IF(OR(B172="",C172="",D172=""),"",IF(B172=Lists!$E$10,"Short",IF(D172&gt;EDATE(C172,IF(OR(B172=Lists!$E$5,B172=Lists!$E$6),12,24)),"Long","Short")))</f>
        <v/>
      </c>
      <c r="L172" s="20" t="str">
        <f aca="false">IF(K172="","",IF(AND(B172=Lists!$E$5,K172="Long",C172&lt;DATE(2018,2,1),N(I172)&gt;0),MAX(G172,MIN(I172,E172)),IF(AND(C172&lt;DATE(2001,4,1),N(I172)&gt;0,B172&lt;&gt;Lists!$E$5),I172,G172)))</f>
        <v/>
      </c>
      <c r="M172" s="20" t="str">
        <f aca="false">IF(K172="","",E172-F172-L172-H172)</f>
        <v/>
      </c>
      <c r="N172" s="20" t="str">
        <f aca="false">IF(K172="","",IF(AND(K172="Long",B172=Lists!$E$7,C172&lt;DATE(2024,7,23)),ROUND((L172+H172)*INDEX(Lists!$C$5:$C$30,MATCH(MIN(MAX(Lists!$B$5:$B$30),YEAR(D172)-IF(MONTH(D172)&lt;4,1,0)),Lists!$B$5:$B$30,0))/INDEX(Lists!$C$5:$C$30,MATCH(MAX(2001,YEAR(C172)-IF(MONTH(C172)&lt;4,1,0)),Lists!$B$5:$B$30,0)),0),""))</f>
        <v/>
      </c>
      <c r="O172" s="20" t="str">
        <f aca="false">IF(N172="","",E172-F172-N172)</f>
        <v/>
      </c>
      <c r="P172" s="21" t="str">
        <f aca="false">IF(K172="","",IF(K172="Short",IF(B172=Lists!$E$5,"ST 20%","ST slab"),IF(B172=Lists!$E$5,"LT 112A",IF(N172="","LT 12.5%",IF(AND(M172&gt;0,O172*0.2&lt;M172*0.125),"LT 20% indexed","LT 12.5%")))))</f>
        <v/>
      </c>
      <c r="Q172" s="22" t="str">
        <f aca="false">IF(P172="","",IF(P172="LT 20% indexed",MAX(0,O172),M172))</f>
        <v/>
      </c>
    </row>
    <row r="173" customFormat="false" ht="15" hidden="false" customHeight="true" outlineLevel="0" collapsed="false">
      <c r="A173" s="23"/>
      <c r="B173" s="23"/>
      <c r="C173" s="24"/>
      <c r="D173" s="24"/>
      <c r="E173" s="25"/>
      <c r="F173" s="25"/>
      <c r="G173" s="25"/>
      <c r="H173" s="25"/>
      <c r="I173" s="25"/>
      <c r="J173" s="20" t="str">
        <f aca="false">IF(OR(B173="",C173="",D173=""),"",DATEDIF(C173,D173,"m"))</f>
        <v/>
      </c>
      <c r="K173" s="21" t="str">
        <f aca="false">IF(OR(B173="",C173="",D173=""),"",IF(B173=Lists!$E$10,"Short",IF(D173&gt;EDATE(C173,IF(OR(B173=Lists!$E$5,B173=Lists!$E$6),12,24)),"Long","Short")))</f>
        <v/>
      </c>
      <c r="L173" s="20" t="str">
        <f aca="false">IF(K173="","",IF(AND(B173=Lists!$E$5,K173="Long",C173&lt;DATE(2018,2,1),N(I173)&gt;0),MAX(G173,MIN(I173,E173)),IF(AND(C173&lt;DATE(2001,4,1),N(I173)&gt;0,B173&lt;&gt;Lists!$E$5),I173,G173)))</f>
        <v/>
      </c>
      <c r="M173" s="20" t="str">
        <f aca="false">IF(K173="","",E173-F173-L173-H173)</f>
        <v/>
      </c>
      <c r="N173" s="20" t="str">
        <f aca="false">IF(K173="","",IF(AND(K173="Long",B173=Lists!$E$7,C173&lt;DATE(2024,7,23)),ROUND((L173+H173)*INDEX(Lists!$C$5:$C$30,MATCH(MIN(MAX(Lists!$B$5:$B$30),YEAR(D173)-IF(MONTH(D173)&lt;4,1,0)),Lists!$B$5:$B$30,0))/INDEX(Lists!$C$5:$C$30,MATCH(MAX(2001,YEAR(C173)-IF(MONTH(C173)&lt;4,1,0)),Lists!$B$5:$B$30,0)),0),""))</f>
        <v/>
      </c>
      <c r="O173" s="20" t="str">
        <f aca="false">IF(N173="","",E173-F173-N173)</f>
        <v/>
      </c>
      <c r="P173" s="21" t="str">
        <f aca="false">IF(K173="","",IF(K173="Short",IF(B173=Lists!$E$5,"ST 20%","ST slab"),IF(B173=Lists!$E$5,"LT 112A",IF(N173="","LT 12.5%",IF(AND(M173&gt;0,O173*0.2&lt;M173*0.125),"LT 20% indexed","LT 12.5%")))))</f>
        <v/>
      </c>
      <c r="Q173" s="22" t="str">
        <f aca="false">IF(P173="","",IF(P173="LT 20% indexed",MAX(0,O173),M173))</f>
        <v/>
      </c>
    </row>
    <row r="174" customFormat="false" ht="15" hidden="false" customHeight="true" outlineLevel="0" collapsed="false">
      <c r="A174" s="23"/>
      <c r="B174" s="23"/>
      <c r="C174" s="24"/>
      <c r="D174" s="24"/>
      <c r="E174" s="25"/>
      <c r="F174" s="25"/>
      <c r="G174" s="25"/>
      <c r="H174" s="25"/>
      <c r="I174" s="25"/>
      <c r="J174" s="20" t="str">
        <f aca="false">IF(OR(B174="",C174="",D174=""),"",DATEDIF(C174,D174,"m"))</f>
        <v/>
      </c>
      <c r="K174" s="21" t="str">
        <f aca="false">IF(OR(B174="",C174="",D174=""),"",IF(B174=Lists!$E$10,"Short",IF(D174&gt;EDATE(C174,IF(OR(B174=Lists!$E$5,B174=Lists!$E$6),12,24)),"Long","Short")))</f>
        <v/>
      </c>
      <c r="L174" s="20" t="str">
        <f aca="false">IF(K174="","",IF(AND(B174=Lists!$E$5,K174="Long",C174&lt;DATE(2018,2,1),N(I174)&gt;0),MAX(G174,MIN(I174,E174)),IF(AND(C174&lt;DATE(2001,4,1),N(I174)&gt;0,B174&lt;&gt;Lists!$E$5),I174,G174)))</f>
        <v/>
      </c>
      <c r="M174" s="20" t="str">
        <f aca="false">IF(K174="","",E174-F174-L174-H174)</f>
        <v/>
      </c>
      <c r="N174" s="20" t="str">
        <f aca="false">IF(K174="","",IF(AND(K174="Long",B174=Lists!$E$7,C174&lt;DATE(2024,7,23)),ROUND((L174+H174)*INDEX(Lists!$C$5:$C$30,MATCH(MIN(MAX(Lists!$B$5:$B$30),YEAR(D174)-IF(MONTH(D174)&lt;4,1,0)),Lists!$B$5:$B$30,0))/INDEX(Lists!$C$5:$C$30,MATCH(MAX(2001,YEAR(C174)-IF(MONTH(C174)&lt;4,1,0)),Lists!$B$5:$B$30,0)),0),""))</f>
        <v/>
      </c>
      <c r="O174" s="20" t="str">
        <f aca="false">IF(N174="","",E174-F174-N174)</f>
        <v/>
      </c>
      <c r="P174" s="21" t="str">
        <f aca="false">IF(K174="","",IF(K174="Short",IF(B174=Lists!$E$5,"ST 20%","ST slab"),IF(B174=Lists!$E$5,"LT 112A",IF(N174="","LT 12.5%",IF(AND(M174&gt;0,O174*0.2&lt;M174*0.125),"LT 20% indexed","LT 12.5%")))))</f>
        <v/>
      </c>
      <c r="Q174" s="22" t="str">
        <f aca="false">IF(P174="","",IF(P174="LT 20% indexed",MAX(0,O174),M174))</f>
        <v/>
      </c>
    </row>
    <row r="175" customFormat="false" ht="15" hidden="false" customHeight="true" outlineLevel="0" collapsed="false">
      <c r="A175" s="23"/>
      <c r="B175" s="23"/>
      <c r="C175" s="24"/>
      <c r="D175" s="24"/>
      <c r="E175" s="25"/>
      <c r="F175" s="25"/>
      <c r="G175" s="25"/>
      <c r="H175" s="25"/>
      <c r="I175" s="25"/>
      <c r="J175" s="20" t="str">
        <f aca="false">IF(OR(B175="",C175="",D175=""),"",DATEDIF(C175,D175,"m"))</f>
        <v/>
      </c>
      <c r="K175" s="21" t="str">
        <f aca="false">IF(OR(B175="",C175="",D175=""),"",IF(B175=Lists!$E$10,"Short",IF(D175&gt;EDATE(C175,IF(OR(B175=Lists!$E$5,B175=Lists!$E$6),12,24)),"Long","Short")))</f>
        <v/>
      </c>
      <c r="L175" s="20" t="str">
        <f aca="false">IF(K175="","",IF(AND(B175=Lists!$E$5,K175="Long",C175&lt;DATE(2018,2,1),N(I175)&gt;0),MAX(G175,MIN(I175,E175)),IF(AND(C175&lt;DATE(2001,4,1),N(I175)&gt;0,B175&lt;&gt;Lists!$E$5),I175,G175)))</f>
        <v/>
      </c>
      <c r="M175" s="20" t="str">
        <f aca="false">IF(K175="","",E175-F175-L175-H175)</f>
        <v/>
      </c>
      <c r="N175" s="20" t="str">
        <f aca="false">IF(K175="","",IF(AND(K175="Long",B175=Lists!$E$7,C175&lt;DATE(2024,7,23)),ROUND((L175+H175)*INDEX(Lists!$C$5:$C$30,MATCH(MIN(MAX(Lists!$B$5:$B$30),YEAR(D175)-IF(MONTH(D175)&lt;4,1,0)),Lists!$B$5:$B$30,0))/INDEX(Lists!$C$5:$C$30,MATCH(MAX(2001,YEAR(C175)-IF(MONTH(C175)&lt;4,1,0)),Lists!$B$5:$B$30,0)),0),""))</f>
        <v/>
      </c>
      <c r="O175" s="20" t="str">
        <f aca="false">IF(N175="","",E175-F175-N175)</f>
        <v/>
      </c>
      <c r="P175" s="21" t="str">
        <f aca="false">IF(K175="","",IF(K175="Short",IF(B175=Lists!$E$5,"ST 20%","ST slab"),IF(B175=Lists!$E$5,"LT 112A",IF(N175="","LT 12.5%",IF(AND(M175&gt;0,O175*0.2&lt;M175*0.125),"LT 20% indexed","LT 12.5%")))))</f>
        <v/>
      </c>
      <c r="Q175" s="22" t="str">
        <f aca="false">IF(P175="","",IF(P175="LT 20% indexed",MAX(0,O175),M175))</f>
        <v/>
      </c>
    </row>
    <row r="176" customFormat="false" ht="15" hidden="false" customHeight="true" outlineLevel="0" collapsed="false">
      <c r="A176" s="23"/>
      <c r="B176" s="23"/>
      <c r="C176" s="24"/>
      <c r="D176" s="24"/>
      <c r="E176" s="25"/>
      <c r="F176" s="25"/>
      <c r="G176" s="25"/>
      <c r="H176" s="25"/>
      <c r="I176" s="25"/>
      <c r="J176" s="20" t="str">
        <f aca="false">IF(OR(B176="",C176="",D176=""),"",DATEDIF(C176,D176,"m"))</f>
        <v/>
      </c>
      <c r="K176" s="21" t="str">
        <f aca="false">IF(OR(B176="",C176="",D176=""),"",IF(B176=Lists!$E$10,"Short",IF(D176&gt;EDATE(C176,IF(OR(B176=Lists!$E$5,B176=Lists!$E$6),12,24)),"Long","Short")))</f>
        <v/>
      </c>
      <c r="L176" s="20" t="str">
        <f aca="false">IF(K176="","",IF(AND(B176=Lists!$E$5,K176="Long",C176&lt;DATE(2018,2,1),N(I176)&gt;0),MAX(G176,MIN(I176,E176)),IF(AND(C176&lt;DATE(2001,4,1),N(I176)&gt;0,B176&lt;&gt;Lists!$E$5),I176,G176)))</f>
        <v/>
      </c>
      <c r="M176" s="20" t="str">
        <f aca="false">IF(K176="","",E176-F176-L176-H176)</f>
        <v/>
      </c>
      <c r="N176" s="20" t="str">
        <f aca="false">IF(K176="","",IF(AND(K176="Long",B176=Lists!$E$7,C176&lt;DATE(2024,7,23)),ROUND((L176+H176)*INDEX(Lists!$C$5:$C$30,MATCH(MIN(MAX(Lists!$B$5:$B$30),YEAR(D176)-IF(MONTH(D176)&lt;4,1,0)),Lists!$B$5:$B$30,0))/INDEX(Lists!$C$5:$C$30,MATCH(MAX(2001,YEAR(C176)-IF(MONTH(C176)&lt;4,1,0)),Lists!$B$5:$B$30,0)),0),""))</f>
        <v/>
      </c>
      <c r="O176" s="20" t="str">
        <f aca="false">IF(N176="","",E176-F176-N176)</f>
        <v/>
      </c>
      <c r="P176" s="21" t="str">
        <f aca="false">IF(K176="","",IF(K176="Short",IF(B176=Lists!$E$5,"ST 20%","ST slab"),IF(B176=Lists!$E$5,"LT 112A",IF(N176="","LT 12.5%",IF(AND(M176&gt;0,O176*0.2&lt;M176*0.125),"LT 20% indexed","LT 12.5%")))))</f>
        <v/>
      </c>
      <c r="Q176" s="22" t="str">
        <f aca="false">IF(P176="","",IF(P176="LT 20% indexed",MAX(0,O176),M176))</f>
        <v/>
      </c>
    </row>
    <row r="177" customFormat="false" ht="15" hidden="false" customHeight="true" outlineLevel="0" collapsed="false">
      <c r="A177" s="23"/>
      <c r="B177" s="23"/>
      <c r="C177" s="24"/>
      <c r="D177" s="24"/>
      <c r="E177" s="25"/>
      <c r="F177" s="25"/>
      <c r="G177" s="25"/>
      <c r="H177" s="25"/>
      <c r="I177" s="25"/>
      <c r="J177" s="20" t="str">
        <f aca="false">IF(OR(B177="",C177="",D177=""),"",DATEDIF(C177,D177,"m"))</f>
        <v/>
      </c>
      <c r="K177" s="21" t="str">
        <f aca="false">IF(OR(B177="",C177="",D177=""),"",IF(B177=Lists!$E$10,"Short",IF(D177&gt;EDATE(C177,IF(OR(B177=Lists!$E$5,B177=Lists!$E$6),12,24)),"Long","Short")))</f>
        <v/>
      </c>
      <c r="L177" s="20" t="str">
        <f aca="false">IF(K177="","",IF(AND(B177=Lists!$E$5,K177="Long",C177&lt;DATE(2018,2,1),N(I177)&gt;0),MAX(G177,MIN(I177,E177)),IF(AND(C177&lt;DATE(2001,4,1),N(I177)&gt;0,B177&lt;&gt;Lists!$E$5),I177,G177)))</f>
        <v/>
      </c>
      <c r="M177" s="20" t="str">
        <f aca="false">IF(K177="","",E177-F177-L177-H177)</f>
        <v/>
      </c>
      <c r="N177" s="20" t="str">
        <f aca="false">IF(K177="","",IF(AND(K177="Long",B177=Lists!$E$7,C177&lt;DATE(2024,7,23)),ROUND((L177+H177)*INDEX(Lists!$C$5:$C$30,MATCH(MIN(MAX(Lists!$B$5:$B$30),YEAR(D177)-IF(MONTH(D177)&lt;4,1,0)),Lists!$B$5:$B$30,0))/INDEX(Lists!$C$5:$C$30,MATCH(MAX(2001,YEAR(C177)-IF(MONTH(C177)&lt;4,1,0)),Lists!$B$5:$B$30,0)),0),""))</f>
        <v/>
      </c>
      <c r="O177" s="20" t="str">
        <f aca="false">IF(N177="","",E177-F177-N177)</f>
        <v/>
      </c>
      <c r="P177" s="21" t="str">
        <f aca="false">IF(K177="","",IF(K177="Short",IF(B177=Lists!$E$5,"ST 20%","ST slab"),IF(B177=Lists!$E$5,"LT 112A",IF(N177="","LT 12.5%",IF(AND(M177&gt;0,O177*0.2&lt;M177*0.125),"LT 20% indexed","LT 12.5%")))))</f>
        <v/>
      </c>
      <c r="Q177" s="22" t="str">
        <f aca="false">IF(P177="","",IF(P177="LT 20% indexed",MAX(0,O177),M177))</f>
        <v/>
      </c>
    </row>
    <row r="178" customFormat="false" ht="15" hidden="false" customHeight="true" outlineLevel="0" collapsed="false">
      <c r="A178" s="23"/>
      <c r="B178" s="23"/>
      <c r="C178" s="24"/>
      <c r="D178" s="24"/>
      <c r="E178" s="25"/>
      <c r="F178" s="25"/>
      <c r="G178" s="25"/>
      <c r="H178" s="25"/>
      <c r="I178" s="25"/>
      <c r="J178" s="20" t="str">
        <f aca="false">IF(OR(B178="",C178="",D178=""),"",DATEDIF(C178,D178,"m"))</f>
        <v/>
      </c>
      <c r="K178" s="21" t="str">
        <f aca="false">IF(OR(B178="",C178="",D178=""),"",IF(B178=Lists!$E$10,"Short",IF(D178&gt;EDATE(C178,IF(OR(B178=Lists!$E$5,B178=Lists!$E$6),12,24)),"Long","Short")))</f>
        <v/>
      </c>
      <c r="L178" s="20" t="str">
        <f aca="false">IF(K178="","",IF(AND(B178=Lists!$E$5,K178="Long",C178&lt;DATE(2018,2,1),N(I178)&gt;0),MAX(G178,MIN(I178,E178)),IF(AND(C178&lt;DATE(2001,4,1),N(I178)&gt;0,B178&lt;&gt;Lists!$E$5),I178,G178)))</f>
        <v/>
      </c>
      <c r="M178" s="20" t="str">
        <f aca="false">IF(K178="","",E178-F178-L178-H178)</f>
        <v/>
      </c>
      <c r="N178" s="20" t="str">
        <f aca="false">IF(K178="","",IF(AND(K178="Long",B178=Lists!$E$7,C178&lt;DATE(2024,7,23)),ROUND((L178+H178)*INDEX(Lists!$C$5:$C$30,MATCH(MIN(MAX(Lists!$B$5:$B$30),YEAR(D178)-IF(MONTH(D178)&lt;4,1,0)),Lists!$B$5:$B$30,0))/INDEX(Lists!$C$5:$C$30,MATCH(MAX(2001,YEAR(C178)-IF(MONTH(C178)&lt;4,1,0)),Lists!$B$5:$B$30,0)),0),""))</f>
        <v/>
      </c>
      <c r="O178" s="20" t="str">
        <f aca="false">IF(N178="","",E178-F178-N178)</f>
        <v/>
      </c>
      <c r="P178" s="21" t="str">
        <f aca="false">IF(K178="","",IF(K178="Short",IF(B178=Lists!$E$5,"ST 20%","ST slab"),IF(B178=Lists!$E$5,"LT 112A",IF(N178="","LT 12.5%",IF(AND(M178&gt;0,O178*0.2&lt;M178*0.125),"LT 20% indexed","LT 12.5%")))))</f>
        <v/>
      </c>
      <c r="Q178" s="22" t="str">
        <f aca="false">IF(P178="","",IF(P178="LT 20% indexed",MAX(0,O178),M178))</f>
        <v/>
      </c>
    </row>
    <row r="179" customFormat="false" ht="15" hidden="false" customHeight="true" outlineLevel="0" collapsed="false">
      <c r="A179" s="23"/>
      <c r="B179" s="23"/>
      <c r="C179" s="24"/>
      <c r="D179" s="24"/>
      <c r="E179" s="25"/>
      <c r="F179" s="25"/>
      <c r="G179" s="25"/>
      <c r="H179" s="25"/>
      <c r="I179" s="25"/>
      <c r="J179" s="20" t="str">
        <f aca="false">IF(OR(B179="",C179="",D179=""),"",DATEDIF(C179,D179,"m"))</f>
        <v/>
      </c>
      <c r="K179" s="21" t="str">
        <f aca="false">IF(OR(B179="",C179="",D179=""),"",IF(B179=Lists!$E$10,"Short",IF(D179&gt;EDATE(C179,IF(OR(B179=Lists!$E$5,B179=Lists!$E$6),12,24)),"Long","Short")))</f>
        <v/>
      </c>
      <c r="L179" s="20" t="str">
        <f aca="false">IF(K179="","",IF(AND(B179=Lists!$E$5,K179="Long",C179&lt;DATE(2018,2,1),N(I179)&gt;0),MAX(G179,MIN(I179,E179)),IF(AND(C179&lt;DATE(2001,4,1),N(I179)&gt;0,B179&lt;&gt;Lists!$E$5),I179,G179)))</f>
        <v/>
      </c>
      <c r="M179" s="20" t="str">
        <f aca="false">IF(K179="","",E179-F179-L179-H179)</f>
        <v/>
      </c>
      <c r="N179" s="20" t="str">
        <f aca="false">IF(K179="","",IF(AND(K179="Long",B179=Lists!$E$7,C179&lt;DATE(2024,7,23)),ROUND((L179+H179)*INDEX(Lists!$C$5:$C$30,MATCH(MIN(MAX(Lists!$B$5:$B$30),YEAR(D179)-IF(MONTH(D179)&lt;4,1,0)),Lists!$B$5:$B$30,0))/INDEX(Lists!$C$5:$C$30,MATCH(MAX(2001,YEAR(C179)-IF(MONTH(C179)&lt;4,1,0)),Lists!$B$5:$B$30,0)),0),""))</f>
        <v/>
      </c>
      <c r="O179" s="20" t="str">
        <f aca="false">IF(N179="","",E179-F179-N179)</f>
        <v/>
      </c>
      <c r="P179" s="21" t="str">
        <f aca="false">IF(K179="","",IF(K179="Short",IF(B179=Lists!$E$5,"ST 20%","ST slab"),IF(B179=Lists!$E$5,"LT 112A",IF(N179="","LT 12.5%",IF(AND(M179&gt;0,O179*0.2&lt;M179*0.125),"LT 20% indexed","LT 12.5%")))))</f>
        <v/>
      </c>
      <c r="Q179" s="22" t="str">
        <f aca="false">IF(P179="","",IF(P179="LT 20% indexed",MAX(0,O179),M179))</f>
        <v/>
      </c>
    </row>
    <row r="180" customFormat="false" ht="15" hidden="false" customHeight="true" outlineLevel="0" collapsed="false">
      <c r="A180" s="23"/>
      <c r="B180" s="23"/>
      <c r="C180" s="24"/>
      <c r="D180" s="24"/>
      <c r="E180" s="25"/>
      <c r="F180" s="25"/>
      <c r="G180" s="25"/>
      <c r="H180" s="25"/>
      <c r="I180" s="25"/>
      <c r="J180" s="20" t="str">
        <f aca="false">IF(OR(B180="",C180="",D180=""),"",DATEDIF(C180,D180,"m"))</f>
        <v/>
      </c>
      <c r="K180" s="21" t="str">
        <f aca="false">IF(OR(B180="",C180="",D180=""),"",IF(B180=Lists!$E$10,"Short",IF(D180&gt;EDATE(C180,IF(OR(B180=Lists!$E$5,B180=Lists!$E$6),12,24)),"Long","Short")))</f>
        <v/>
      </c>
      <c r="L180" s="20" t="str">
        <f aca="false">IF(K180="","",IF(AND(B180=Lists!$E$5,K180="Long",C180&lt;DATE(2018,2,1),N(I180)&gt;0),MAX(G180,MIN(I180,E180)),IF(AND(C180&lt;DATE(2001,4,1),N(I180)&gt;0,B180&lt;&gt;Lists!$E$5),I180,G180)))</f>
        <v/>
      </c>
      <c r="M180" s="20" t="str">
        <f aca="false">IF(K180="","",E180-F180-L180-H180)</f>
        <v/>
      </c>
      <c r="N180" s="20" t="str">
        <f aca="false">IF(K180="","",IF(AND(K180="Long",B180=Lists!$E$7,C180&lt;DATE(2024,7,23)),ROUND((L180+H180)*INDEX(Lists!$C$5:$C$30,MATCH(MIN(MAX(Lists!$B$5:$B$30),YEAR(D180)-IF(MONTH(D180)&lt;4,1,0)),Lists!$B$5:$B$30,0))/INDEX(Lists!$C$5:$C$30,MATCH(MAX(2001,YEAR(C180)-IF(MONTH(C180)&lt;4,1,0)),Lists!$B$5:$B$30,0)),0),""))</f>
        <v/>
      </c>
      <c r="O180" s="20" t="str">
        <f aca="false">IF(N180="","",E180-F180-N180)</f>
        <v/>
      </c>
      <c r="P180" s="21" t="str">
        <f aca="false">IF(K180="","",IF(K180="Short",IF(B180=Lists!$E$5,"ST 20%","ST slab"),IF(B180=Lists!$E$5,"LT 112A",IF(N180="","LT 12.5%",IF(AND(M180&gt;0,O180*0.2&lt;M180*0.125),"LT 20% indexed","LT 12.5%")))))</f>
        <v/>
      </c>
      <c r="Q180" s="22" t="str">
        <f aca="false">IF(P180="","",IF(P180="LT 20% indexed",MAX(0,O180),M180))</f>
        <v/>
      </c>
    </row>
    <row r="181" customFormat="false" ht="15" hidden="false" customHeight="true" outlineLevel="0" collapsed="false">
      <c r="A181" s="23"/>
      <c r="B181" s="23"/>
      <c r="C181" s="24"/>
      <c r="D181" s="24"/>
      <c r="E181" s="25"/>
      <c r="F181" s="25"/>
      <c r="G181" s="25"/>
      <c r="H181" s="25"/>
      <c r="I181" s="25"/>
      <c r="J181" s="20" t="str">
        <f aca="false">IF(OR(B181="",C181="",D181=""),"",DATEDIF(C181,D181,"m"))</f>
        <v/>
      </c>
      <c r="K181" s="21" t="str">
        <f aca="false">IF(OR(B181="",C181="",D181=""),"",IF(B181=Lists!$E$10,"Short",IF(D181&gt;EDATE(C181,IF(OR(B181=Lists!$E$5,B181=Lists!$E$6),12,24)),"Long","Short")))</f>
        <v/>
      </c>
      <c r="L181" s="20" t="str">
        <f aca="false">IF(K181="","",IF(AND(B181=Lists!$E$5,K181="Long",C181&lt;DATE(2018,2,1),N(I181)&gt;0),MAX(G181,MIN(I181,E181)),IF(AND(C181&lt;DATE(2001,4,1),N(I181)&gt;0,B181&lt;&gt;Lists!$E$5),I181,G181)))</f>
        <v/>
      </c>
      <c r="M181" s="20" t="str">
        <f aca="false">IF(K181="","",E181-F181-L181-H181)</f>
        <v/>
      </c>
      <c r="N181" s="20" t="str">
        <f aca="false">IF(K181="","",IF(AND(K181="Long",B181=Lists!$E$7,C181&lt;DATE(2024,7,23)),ROUND((L181+H181)*INDEX(Lists!$C$5:$C$30,MATCH(MIN(MAX(Lists!$B$5:$B$30),YEAR(D181)-IF(MONTH(D181)&lt;4,1,0)),Lists!$B$5:$B$30,0))/INDEX(Lists!$C$5:$C$30,MATCH(MAX(2001,YEAR(C181)-IF(MONTH(C181)&lt;4,1,0)),Lists!$B$5:$B$30,0)),0),""))</f>
        <v/>
      </c>
      <c r="O181" s="20" t="str">
        <f aca="false">IF(N181="","",E181-F181-N181)</f>
        <v/>
      </c>
      <c r="P181" s="21" t="str">
        <f aca="false">IF(K181="","",IF(K181="Short",IF(B181=Lists!$E$5,"ST 20%","ST slab"),IF(B181=Lists!$E$5,"LT 112A",IF(N181="","LT 12.5%",IF(AND(M181&gt;0,O181*0.2&lt;M181*0.125),"LT 20% indexed","LT 12.5%")))))</f>
        <v/>
      </c>
      <c r="Q181" s="22" t="str">
        <f aca="false">IF(P181="","",IF(P181="LT 20% indexed",MAX(0,O181),M181))</f>
        <v/>
      </c>
    </row>
    <row r="182" customFormat="false" ht="15" hidden="false" customHeight="true" outlineLevel="0" collapsed="false">
      <c r="A182" s="23"/>
      <c r="B182" s="23"/>
      <c r="C182" s="24"/>
      <c r="D182" s="24"/>
      <c r="E182" s="25"/>
      <c r="F182" s="25"/>
      <c r="G182" s="25"/>
      <c r="H182" s="25"/>
      <c r="I182" s="25"/>
      <c r="J182" s="20" t="str">
        <f aca="false">IF(OR(B182="",C182="",D182=""),"",DATEDIF(C182,D182,"m"))</f>
        <v/>
      </c>
      <c r="K182" s="21" t="str">
        <f aca="false">IF(OR(B182="",C182="",D182=""),"",IF(B182=Lists!$E$10,"Short",IF(D182&gt;EDATE(C182,IF(OR(B182=Lists!$E$5,B182=Lists!$E$6),12,24)),"Long","Short")))</f>
        <v/>
      </c>
      <c r="L182" s="20" t="str">
        <f aca="false">IF(K182="","",IF(AND(B182=Lists!$E$5,K182="Long",C182&lt;DATE(2018,2,1),N(I182)&gt;0),MAX(G182,MIN(I182,E182)),IF(AND(C182&lt;DATE(2001,4,1),N(I182)&gt;0,B182&lt;&gt;Lists!$E$5),I182,G182)))</f>
        <v/>
      </c>
      <c r="M182" s="20" t="str">
        <f aca="false">IF(K182="","",E182-F182-L182-H182)</f>
        <v/>
      </c>
      <c r="N182" s="20" t="str">
        <f aca="false">IF(K182="","",IF(AND(K182="Long",B182=Lists!$E$7,C182&lt;DATE(2024,7,23)),ROUND((L182+H182)*INDEX(Lists!$C$5:$C$30,MATCH(MIN(MAX(Lists!$B$5:$B$30),YEAR(D182)-IF(MONTH(D182)&lt;4,1,0)),Lists!$B$5:$B$30,0))/INDEX(Lists!$C$5:$C$30,MATCH(MAX(2001,YEAR(C182)-IF(MONTH(C182)&lt;4,1,0)),Lists!$B$5:$B$30,0)),0),""))</f>
        <v/>
      </c>
      <c r="O182" s="20" t="str">
        <f aca="false">IF(N182="","",E182-F182-N182)</f>
        <v/>
      </c>
      <c r="P182" s="21" t="str">
        <f aca="false">IF(K182="","",IF(K182="Short",IF(B182=Lists!$E$5,"ST 20%","ST slab"),IF(B182=Lists!$E$5,"LT 112A",IF(N182="","LT 12.5%",IF(AND(M182&gt;0,O182*0.2&lt;M182*0.125),"LT 20% indexed","LT 12.5%")))))</f>
        <v/>
      </c>
      <c r="Q182" s="22" t="str">
        <f aca="false">IF(P182="","",IF(P182="LT 20% indexed",MAX(0,O182),M182))</f>
        <v/>
      </c>
    </row>
    <row r="183" customFormat="false" ht="15" hidden="false" customHeight="true" outlineLevel="0" collapsed="false">
      <c r="A183" s="23"/>
      <c r="B183" s="23"/>
      <c r="C183" s="24"/>
      <c r="D183" s="24"/>
      <c r="E183" s="25"/>
      <c r="F183" s="25"/>
      <c r="G183" s="25"/>
      <c r="H183" s="25"/>
      <c r="I183" s="25"/>
      <c r="J183" s="20" t="str">
        <f aca="false">IF(OR(B183="",C183="",D183=""),"",DATEDIF(C183,D183,"m"))</f>
        <v/>
      </c>
      <c r="K183" s="21" t="str">
        <f aca="false">IF(OR(B183="",C183="",D183=""),"",IF(B183=Lists!$E$10,"Short",IF(D183&gt;EDATE(C183,IF(OR(B183=Lists!$E$5,B183=Lists!$E$6),12,24)),"Long","Short")))</f>
        <v/>
      </c>
      <c r="L183" s="20" t="str">
        <f aca="false">IF(K183="","",IF(AND(B183=Lists!$E$5,K183="Long",C183&lt;DATE(2018,2,1),N(I183)&gt;0),MAX(G183,MIN(I183,E183)),IF(AND(C183&lt;DATE(2001,4,1),N(I183)&gt;0,B183&lt;&gt;Lists!$E$5),I183,G183)))</f>
        <v/>
      </c>
      <c r="M183" s="20" t="str">
        <f aca="false">IF(K183="","",E183-F183-L183-H183)</f>
        <v/>
      </c>
      <c r="N183" s="20" t="str">
        <f aca="false">IF(K183="","",IF(AND(K183="Long",B183=Lists!$E$7,C183&lt;DATE(2024,7,23)),ROUND((L183+H183)*INDEX(Lists!$C$5:$C$30,MATCH(MIN(MAX(Lists!$B$5:$B$30),YEAR(D183)-IF(MONTH(D183)&lt;4,1,0)),Lists!$B$5:$B$30,0))/INDEX(Lists!$C$5:$C$30,MATCH(MAX(2001,YEAR(C183)-IF(MONTH(C183)&lt;4,1,0)),Lists!$B$5:$B$30,0)),0),""))</f>
        <v/>
      </c>
      <c r="O183" s="20" t="str">
        <f aca="false">IF(N183="","",E183-F183-N183)</f>
        <v/>
      </c>
      <c r="P183" s="21" t="str">
        <f aca="false">IF(K183="","",IF(K183="Short",IF(B183=Lists!$E$5,"ST 20%","ST slab"),IF(B183=Lists!$E$5,"LT 112A",IF(N183="","LT 12.5%",IF(AND(M183&gt;0,O183*0.2&lt;M183*0.125),"LT 20% indexed","LT 12.5%")))))</f>
        <v/>
      </c>
      <c r="Q183" s="22" t="str">
        <f aca="false">IF(P183="","",IF(P183="LT 20% indexed",MAX(0,O183),M183))</f>
        <v/>
      </c>
    </row>
    <row r="184" customFormat="false" ht="15" hidden="false" customHeight="true" outlineLevel="0" collapsed="false">
      <c r="A184" s="23"/>
      <c r="B184" s="23"/>
      <c r="C184" s="24"/>
      <c r="D184" s="24"/>
      <c r="E184" s="25"/>
      <c r="F184" s="25"/>
      <c r="G184" s="25"/>
      <c r="H184" s="25"/>
      <c r="I184" s="25"/>
      <c r="J184" s="20" t="str">
        <f aca="false">IF(OR(B184="",C184="",D184=""),"",DATEDIF(C184,D184,"m"))</f>
        <v/>
      </c>
      <c r="K184" s="21" t="str">
        <f aca="false">IF(OR(B184="",C184="",D184=""),"",IF(B184=Lists!$E$10,"Short",IF(D184&gt;EDATE(C184,IF(OR(B184=Lists!$E$5,B184=Lists!$E$6),12,24)),"Long","Short")))</f>
        <v/>
      </c>
      <c r="L184" s="20" t="str">
        <f aca="false">IF(K184="","",IF(AND(B184=Lists!$E$5,K184="Long",C184&lt;DATE(2018,2,1),N(I184)&gt;0),MAX(G184,MIN(I184,E184)),IF(AND(C184&lt;DATE(2001,4,1),N(I184)&gt;0,B184&lt;&gt;Lists!$E$5),I184,G184)))</f>
        <v/>
      </c>
      <c r="M184" s="20" t="str">
        <f aca="false">IF(K184="","",E184-F184-L184-H184)</f>
        <v/>
      </c>
      <c r="N184" s="20" t="str">
        <f aca="false">IF(K184="","",IF(AND(K184="Long",B184=Lists!$E$7,C184&lt;DATE(2024,7,23)),ROUND((L184+H184)*INDEX(Lists!$C$5:$C$30,MATCH(MIN(MAX(Lists!$B$5:$B$30),YEAR(D184)-IF(MONTH(D184)&lt;4,1,0)),Lists!$B$5:$B$30,0))/INDEX(Lists!$C$5:$C$30,MATCH(MAX(2001,YEAR(C184)-IF(MONTH(C184)&lt;4,1,0)),Lists!$B$5:$B$30,0)),0),""))</f>
        <v/>
      </c>
      <c r="O184" s="20" t="str">
        <f aca="false">IF(N184="","",E184-F184-N184)</f>
        <v/>
      </c>
      <c r="P184" s="21" t="str">
        <f aca="false">IF(K184="","",IF(K184="Short",IF(B184=Lists!$E$5,"ST 20%","ST slab"),IF(B184=Lists!$E$5,"LT 112A",IF(N184="","LT 12.5%",IF(AND(M184&gt;0,O184*0.2&lt;M184*0.125),"LT 20% indexed","LT 12.5%")))))</f>
        <v/>
      </c>
      <c r="Q184" s="22" t="str">
        <f aca="false">IF(P184="","",IF(P184="LT 20% indexed",MAX(0,O184),M184))</f>
        <v/>
      </c>
    </row>
    <row r="185" customFormat="false" ht="15" hidden="false" customHeight="true" outlineLevel="0" collapsed="false">
      <c r="A185" s="23"/>
      <c r="B185" s="23"/>
      <c r="C185" s="24"/>
      <c r="D185" s="24"/>
      <c r="E185" s="25"/>
      <c r="F185" s="25"/>
      <c r="G185" s="25"/>
      <c r="H185" s="25"/>
      <c r="I185" s="25"/>
      <c r="J185" s="20" t="str">
        <f aca="false">IF(OR(B185="",C185="",D185=""),"",DATEDIF(C185,D185,"m"))</f>
        <v/>
      </c>
      <c r="K185" s="21" t="str">
        <f aca="false">IF(OR(B185="",C185="",D185=""),"",IF(B185=Lists!$E$10,"Short",IF(D185&gt;EDATE(C185,IF(OR(B185=Lists!$E$5,B185=Lists!$E$6),12,24)),"Long","Short")))</f>
        <v/>
      </c>
      <c r="L185" s="20" t="str">
        <f aca="false">IF(K185="","",IF(AND(B185=Lists!$E$5,K185="Long",C185&lt;DATE(2018,2,1),N(I185)&gt;0),MAX(G185,MIN(I185,E185)),IF(AND(C185&lt;DATE(2001,4,1),N(I185)&gt;0,B185&lt;&gt;Lists!$E$5),I185,G185)))</f>
        <v/>
      </c>
      <c r="M185" s="20" t="str">
        <f aca="false">IF(K185="","",E185-F185-L185-H185)</f>
        <v/>
      </c>
      <c r="N185" s="20" t="str">
        <f aca="false">IF(K185="","",IF(AND(K185="Long",B185=Lists!$E$7,C185&lt;DATE(2024,7,23)),ROUND((L185+H185)*INDEX(Lists!$C$5:$C$30,MATCH(MIN(MAX(Lists!$B$5:$B$30),YEAR(D185)-IF(MONTH(D185)&lt;4,1,0)),Lists!$B$5:$B$30,0))/INDEX(Lists!$C$5:$C$30,MATCH(MAX(2001,YEAR(C185)-IF(MONTH(C185)&lt;4,1,0)),Lists!$B$5:$B$30,0)),0),""))</f>
        <v/>
      </c>
      <c r="O185" s="20" t="str">
        <f aca="false">IF(N185="","",E185-F185-N185)</f>
        <v/>
      </c>
      <c r="P185" s="21" t="str">
        <f aca="false">IF(K185="","",IF(K185="Short",IF(B185=Lists!$E$5,"ST 20%","ST slab"),IF(B185=Lists!$E$5,"LT 112A",IF(N185="","LT 12.5%",IF(AND(M185&gt;0,O185*0.2&lt;M185*0.125),"LT 20% indexed","LT 12.5%")))))</f>
        <v/>
      </c>
      <c r="Q185" s="22" t="str">
        <f aca="false">IF(P185="","",IF(P185="LT 20% indexed",MAX(0,O185),M185))</f>
        <v/>
      </c>
    </row>
    <row r="186" customFormat="false" ht="15" hidden="false" customHeight="true" outlineLevel="0" collapsed="false">
      <c r="A186" s="23"/>
      <c r="B186" s="23"/>
      <c r="C186" s="24"/>
      <c r="D186" s="24"/>
      <c r="E186" s="25"/>
      <c r="F186" s="25"/>
      <c r="G186" s="25"/>
      <c r="H186" s="25"/>
      <c r="I186" s="25"/>
      <c r="J186" s="20" t="str">
        <f aca="false">IF(OR(B186="",C186="",D186=""),"",DATEDIF(C186,D186,"m"))</f>
        <v/>
      </c>
      <c r="K186" s="21" t="str">
        <f aca="false">IF(OR(B186="",C186="",D186=""),"",IF(B186=Lists!$E$10,"Short",IF(D186&gt;EDATE(C186,IF(OR(B186=Lists!$E$5,B186=Lists!$E$6),12,24)),"Long","Short")))</f>
        <v/>
      </c>
      <c r="L186" s="20" t="str">
        <f aca="false">IF(K186="","",IF(AND(B186=Lists!$E$5,K186="Long",C186&lt;DATE(2018,2,1),N(I186)&gt;0),MAX(G186,MIN(I186,E186)),IF(AND(C186&lt;DATE(2001,4,1),N(I186)&gt;0,B186&lt;&gt;Lists!$E$5),I186,G186)))</f>
        <v/>
      </c>
      <c r="M186" s="20" t="str">
        <f aca="false">IF(K186="","",E186-F186-L186-H186)</f>
        <v/>
      </c>
      <c r="N186" s="20" t="str">
        <f aca="false">IF(K186="","",IF(AND(K186="Long",B186=Lists!$E$7,C186&lt;DATE(2024,7,23)),ROUND((L186+H186)*INDEX(Lists!$C$5:$C$30,MATCH(MIN(MAX(Lists!$B$5:$B$30),YEAR(D186)-IF(MONTH(D186)&lt;4,1,0)),Lists!$B$5:$B$30,0))/INDEX(Lists!$C$5:$C$30,MATCH(MAX(2001,YEAR(C186)-IF(MONTH(C186)&lt;4,1,0)),Lists!$B$5:$B$30,0)),0),""))</f>
        <v/>
      </c>
      <c r="O186" s="20" t="str">
        <f aca="false">IF(N186="","",E186-F186-N186)</f>
        <v/>
      </c>
      <c r="P186" s="21" t="str">
        <f aca="false">IF(K186="","",IF(K186="Short",IF(B186=Lists!$E$5,"ST 20%","ST slab"),IF(B186=Lists!$E$5,"LT 112A",IF(N186="","LT 12.5%",IF(AND(M186&gt;0,O186*0.2&lt;M186*0.125),"LT 20% indexed","LT 12.5%")))))</f>
        <v/>
      </c>
      <c r="Q186" s="22" t="str">
        <f aca="false">IF(P186="","",IF(P186="LT 20% indexed",MAX(0,O186),M186))</f>
        <v/>
      </c>
    </row>
    <row r="187" customFormat="false" ht="15" hidden="false" customHeight="true" outlineLevel="0" collapsed="false">
      <c r="A187" s="23"/>
      <c r="B187" s="23"/>
      <c r="C187" s="24"/>
      <c r="D187" s="24"/>
      <c r="E187" s="25"/>
      <c r="F187" s="25"/>
      <c r="G187" s="25"/>
      <c r="H187" s="25"/>
      <c r="I187" s="25"/>
      <c r="J187" s="20" t="str">
        <f aca="false">IF(OR(B187="",C187="",D187=""),"",DATEDIF(C187,D187,"m"))</f>
        <v/>
      </c>
      <c r="K187" s="21" t="str">
        <f aca="false">IF(OR(B187="",C187="",D187=""),"",IF(B187=Lists!$E$10,"Short",IF(D187&gt;EDATE(C187,IF(OR(B187=Lists!$E$5,B187=Lists!$E$6),12,24)),"Long","Short")))</f>
        <v/>
      </c>
      <c r="L187" s="20" t="str">
        <f aca="false">IF(K187="","",IF(AND(B187=Lists!$E$5,K187="Long",C187&lt;DATE(2018,2,1),N(I187)&gt;0),MAX(G187,MIN(I187,E187)),IF(AND(C187&lt;DATE(2001,4,1),N(I187)&gt;0,B187&lt;&gt;Lists!$E$5),I187,G187)))</f>
        <v/>
      </c>
      <c r="M187" s="20" t="str">
        <f aca="false">IF(K187="","",E187-F187-L187-H187)</f>
        <v/>
      </c>
      <c r="N187" s="20" t="str">
        <f aca="false">IF(K187="","",IF(AND(K187="Long",B187=Lists!$E$7,C187&lt;DATE(2024,7,23)),ROUND((L187+H187)*INDEX(Lists!$C$5:$C$30,MATCH(MIN(MAX(Lists!$B$5:$B$30),YEAR(D187)-IF(MONTH(D187)&lt;4,1,0)),Lists!$B$5:$B$30,0))/INDEX(Lists!$C$5:$C$30,MATCH(MAX(2001,YEAR(C187)-IF(MONTH(C187)&lt;4,1,0)),Lists!$B$5:$B$30,0)),0),""))</f>
        <v/>
      </c>
      <c r="O187" s="20" t="str">
        <f aca="false">IF(N187="","",E187-F187-N187)</f>
        <v/>
      </c>
      <c r="P187" s="21" t="str">
        <f aca="false">IF(K187="","",IF(K187="Short",IF(B187=Lists!$E$5,"ST 20%","ST slab"),IF(B187=Lists!$E$5,"LT 112A",IF(N187="","LT 12.5%",IF(AND(M187&gt;0,O187*0.2&lt;M187*0.125),"LT 20% indexed","LT 12.5%")))))</f>
        <v/>
      </c>
      <c r="Q187" s="22" t="str">
        <f aca="false">IF(P187="","",IF(P187="LT 20% indexed",MAX(0,O187),M187))</f>
        <v/>
      </c>
    </row>
    <row r="188" customFormat="false" ht="15" hidden="false" customHeight="true" outlineLevel="0" collapsed="false">
      <c r="A188" s="23"/>
      <c r="B188" s="23"/>
      <c r="C188" s="24"/>
      <c r="D188" s="24"/>
      <c r="E188" s="25"/>
      <c r="F188" s="25"/>
      <c r="G188" s="25"/>
      <c r="H188" s="25"/>
      <c r="I188" s="25"/>
      <c r="J188" s="20" t="str">
        <f aca="false">IF(OR(B188="",C188="",D188=""),"",DATEDIF(C188,D188,"m"))</f>
        <v/>
      </c>
      <c r="K188" s="21" t="str">
        <f aca="false">IF(OR(B188="",C188="",D188=""),"",IF(B188=Lists!$E$10,"Short",IF(D188&gt;EDATE(C188,IF(OR(B188=Lists!$E$5,B188=Lists!$E$6),12,24)),"Long","Short")))</f>
        <v/>
      </c>
      <c r="L188" s="20" t="str">
        <f aca="false">IF(K188="","",IF(AND(B188=Lists!$E$5,K188="Long",C188&lt;DATE(2018,2,1),N(I188)&gt;0),MAX(G188,MIN(I188,E188)),IF(AND(C188&lt;DATE(2001,4,1),N(I188)&gt;0,B188&lt;&gt;Lists!$E$5),I188,G188)))</f>
        <v/>
      </c>
      <c r="M188" s="20" t="str">
        <f aca="false">IF(K188="","",E188-F188-L188-H188)</f>
        <v/>
      </c>
      <c r="N188" s="20" t="str">
        <f aca="false">IF(K188="","",IF(AND(K188="Long",B188=Lists!$E$7,C188&lt;DATE(2024,7,23)),ROUND((L188+H188)*INDEX(Lists!$C$5:$C$30,MATCH(MIN(MAX(Lists!$B$5:$B$30),YEAR(D188)-IF(MONTH(D188)&lt;4,1,0)),Lists!$B$5:$B$30,0))/INDEX(Lists!$C$5:$C$30,MATCH(MAX(2001,YEAR(C188)-IF(MONTH(C188)&lt;4,1,0)),Lists!$B$5:$B$30,0)),0),""))</f>
        <v/>
      </c>
      <c r="O188" s="20" t="str">
        <f aca="false">IF(N188="","",E188-F188-N188)</f>
        <v/>
      </c>
      <c r="P188" s="21" t="str">
        <f aca="false">IF(K188="","",IF(K188="Short",IF(B188=Lists!$E$5,"ST 20%","ST slab"),IF(B188=Lists!$E$5,"LT 112A",IF(N188="","LT 12.5%",IF(AND(M188&gt;0,O188*0.2&lt;M188*0.125),"LT 20% indexed","LT 12.5%")))))</f>
        <v/>
      </c>
      <c r="Q188" s="22" t="str">
        <f aca="false">IF(P188="","",IF(P188="LT 20% indexed",MAX(0,O188),M188))</f>
        <v/>
      </c>
    </row>
    <row r="189" customFormat="false" ht="15" hidden="false" customHeight="true" outlineLevel="0" collapsed="false">
      <c r="A189" s="23"/>
      <c r="B189" s="23"/>
      <c r="C189" s="24"/>
      <c r="D189" s="24"/>
      <c r="E189" s="25"/>
      <c r="F189" s="25"/>
      <c r="G189" s="25"/>
      <c r="H189" s="25"/>
      <c r="I189" s="25"/>
      <c r="J189" s="20" t="str">
        <f aca="false">IF(OR(B189="",C189="",D189=""),"",DATEDIF(C189,D189,"m"))</f>
        <v/>
      </c>
      <c r="K189" s="21" t="str">
        <f aca="false">IF(OR(B189="",C189="",D189=""),"",IF(B189=Lists!$E$10,"Short",IF(D189&gt;EDATE(C189,IF(OR(B189=Lists!$E$5,B189=Lists!$E$6),12,24)),"Long","Short")))</f>
        <v/>
      </c>
      <c r="L189" s="20" t="str">
        <f aca="false">IF(K189="","",IF(AND(B189=Lists!$E$5,K189="Long",C189&lt;DATE(2018,2,1),N(I189)&gt;0),MAX(G189,MIN(I189,E189)),IF(AND(C189&lt;DATE(2001,4,1),N(I189)&gt;0,B189&lt;&gt;Lists!$E$5),I189,G189)))</f>
        <v/>
      </c>
      <c r="M189" s="20" t="str">
        <f aca="false">IF(K189="","",E189-F189-L189-H189)</f>
        <v/>
      </c>
      <c r="N189" s="20" t="str">
        <f aca="false">IF(K189="","",IF(AND(K189="Long",B189=Lists!$E$7,C189&lt;DATE(2024,7,23)),ROUND((L189+H189)*INDEX(Lists!$C$5:$C$30,MATCH(MIN(MAX(Lists!$B$5:$B$30),YEAR(D189)-IF(MONTH(D189)&lt;4,1,0)),Lists!$B$5:$B$30,0))/INDEX(Lists!$C$5:$C$30,MATCH(MAX(2001,YEAR(C189)-IF(MONTH(C189)&lt;4,1,0)),Lists!$B$5:$B$30,0)),0),""))</f>
        <v/>
      </c>
      <c r="O189" s="20" t="str">
        <f aca="false">IF(N189="","",E189-F189-N189)</f>
        <v/>
      </c>
      <c r="P189" s="21" t="str">
        <f aca="false">IF(K189="","",IF(K189="Short",IF(B189=Lists!$E$5,"ST 20%","ST slab"),IF(B189=Lists!$E$5,"LT 112A",IF(N189="","LT 12.5%",IF(AND(M189&gt;0,O189*0.2&lt;M189*0.125),"LT 20% indexed","LT 12.5%")))))</f>
        <v/>
      </c>
      <c r="Q189" s="22" t="str">
        <f aca="false">IF(P189="","",IF(P189="LT 20% indexed",MAX(0,O189),M189))</f>
        <v/>
      </c>
    </row>
    <row r="190" customFormat="false" ht="15" hidden="false" customHeight="true" outlineLevel="0" collapsed="false">
      <c r="A190" s="23"/>
      <c r="B190" s="23"/>
      <c r="C190" s="24"/>
      <c r="D190" s="24"/>
      <c r="E190" s="25"/>
      <c r="F190" s="25"/>
      <c r="G190" s="25"/>
      <c r="H190" s="25"/>
      <c r="I190" s="25"/>
      <c r="J190" s="20" t="str">
        <f aca="false">IF(OR(B190="",C190="",D190=""),"",DATEDIF(C190,D190,"m"))</f>
        <v/>
      </c>
      <c r="K190" s="21" t="str">
        <f aca="false">IF(OR(B190="",C190="",D190=""),"",IF(B190=Lists!$E$10,"Short",IF(D190&gt;EDATE(C190,IF(OR(B190=Lists!$E$5,B190=Lists!$E$6),12,24)),"Long","Short")))</f>
        <v/>
      </c>
      <c r="L190" s="20" t="str">
        <f aca="false">IF(K190="","",IF(AND(B190=Lists!$E$5,K190="Long",C190&lt;DATE(2018,2,1),N(I190)&gt;0),MAX(G190,MIN(I190,E190)),IF(AND(C190&lt;DATE(2001,4,1),N(I190)&gt;0,B190&lt;&gt;Lists!$E$5),I190,G190)))</f>
        <v/>
      </c>
      <c r="M190" s="20" t="str">
        <f aca="false">IF(K190="","",E190-F190-L190-H190)</f>
        <v/>
      </c>
      <c r="N190" s="20" t="str">
        <f aca="false">IF(K190="","",IF(AND(K190="Long",B190=Lists!$E$7,C190&lt;DATE(2024,7,23)),ROUND((L190+H190)*INDEX(Lists!$C$5:$C$30,MATCH(MIN(MAX(Lists!$B$5:$B$30),YEAR(D190)-IF(MONTH(D190)&lt;4,1,0)),Lists!$B$5:$B$30,0))/INDEX(Lists!$C$5:$C$30,MATCH(MAX(2001,YEAR(C190)-IF(MONTH(C190)&lt;4,1,0)),Lists!$B$5:$B$30,0)),0),""))</f>
        <v/>
      </c>
      <c r="O190" s="20" t="str">
        <f aca="false">IF(N190="","",E190-F190-N190)</f>
        <v/>
      </c>
      <c r="P190" s="21" t="str">
        <f aca="false">IF(K190="","",IF(K190="Short",IF(B190=Lists!$E$5,"ST 20%","ST slab"),IF(B190=Lists!$E$5,"LT 112A",IF(N190="","LT 12.5%",IF(AND(M190&gt;0,O190*0.2&lt;M190*0.125),"LT 20% indexed","LT 12.5%")))))</f>
        <v/>
      </c>
      <c r="Q190" s="22" t="str">
        <f aca="false">IF(P190="","",IF(P190="LT 20% indexed",MAX(0,O190),M190))</f>
        <v/>
      </c>
    </row>
    <row r="191" customFormat="false" ht="15" hidden="false" customHeight="true" outlineLevel="0" collapsed="false">
      <c r="A191" s="23"/>
      <c r="B191" s="23"/>
      <c r="C191" s="24"/>
      <c r="D191" s="24"/>
      <c r="E191" s="25"/>
      <c r="F191" s="25"/>
      <c r="G191" s="25"/>
      <c r="H191" s="25"/>
      <c r="I191" s="25"/>
      <c r="J191" s="20" t="str">
        <f aca="false">IF(OR(B191="",C191="",D191=""),"",DATEDIF(C191,D191,"m"))</f>
        <v/>
      </c>
      <c r="K191" s="21" t="str">
        <f aca="false">IF(OR(B191="",C191="",D191=""),"",IF(B191=Lists!$E$10,"Short",IF(D191&gt;EDATE(C191,IF(OR(B191=Lists!$E$5,B191=Lists!$E$6),12,24)),"Long","Short")))</f>
        <v/>
      </c>
      <c r="L191" s="20" t="str">
        <f aca="false">IF(K191="","",IF(AND(B191=Lists!$E$5,K191="Long",C191&lt;DATE(2018,2,1),N(I191)&gt;0),MAX(G191,MIN(I191,E191)),IF(AND(C191&lt;DATE(2001,4,1),N(I191)&gt;0,B191&lt;&gt;Lists!$E$5),I191,G191)))</f>
        <v/>
      </c>
      <c r="M191" s="20" t="str">
        <f aca="false">IF(K191="","",E191-F191-L191-H191)</f>
        <v/>
      </c>
      <c r="N191" s="20" t="str">
        <f aca="false">IF(K191="","",IF(AND(K191="Long",B191=Lists!$E$7,C191&lt;DATE(2024,7,23)),ROUND((L191+H191)*INDEX(Lists!$C$5:$C$30,MATCH(MIN(MAX(Lists!$B$5:$B$30),YEAR(D191)-IF(MONTH(D191)&lt;4,1,0)),Lists!$B$5:$B$30,0))/INDEX(Lists!$C$5:$C$30,MATCH(MAX(2001,YEAR(C191)-IF(MONTH(C191)&lt;4,1,0)),Lists!$B$5:$B$30,0)),0),""))</f>
        <v/>
      </c>
      <c r="O191" s="20" t="str">
        <f aca="false">IF(N191="","",E191-F191-N191)</f>
        <v/>
      </c>
      <c r="P191" s="21" t="str">
        <f aca="false">IF(K191="","",IF(K191="Short",IF(B191=Lists!$E$5,"ST 20%","ST slab"),IF(B191=Lists!$E$5,"LT 112A",IF(N191="","LT 12.5%",IF(AND(M191&gt;0,O191*0.2&lt;M191*0.125),"LT 20% indexed","LT 12.5%")))))</f>
        <v/>
      </c>
      <c r="Q191" s="22" t="str">
        <f aca="false">IF(P191="","",IF(P191="LT 20% indexed",MAX(0,O191),M191))</f>
        <v/>
      </c>
    </row>
    <row r="192" customFormat="false" ht="15" hidden="false" customHeight="true" outlineLevel="0" collapsed="false">
      <c r="A192" s="23"/>
      <c r="B192" s="23"/>
      <c r="C192" s="24"/>
      <c r="D192" s="24"/>
      <c r="E192" s="25"/>
      <c r="F192" s="25"/>
      <c r="G192" s="25"/>
      <c r="H192" s="25"/>
      <c r="I192" s="25"/>
      <c r="J192" s="20" t="str">
        <f aca="false">IF(OR(B192="",C192="",D192=""),"",DATEDIF(C192,D192,"m"))</f>
        <v/>
      </c>
      <c r="K192" s="21" t="str">
        <f aca="false">IF(OR(B192="",C192="",D192=""),"",IF(B192=Lists!$E$10,"Short",IF(D192&gt;EDATE(C192,IF(OR(B192=Lists!$E$5,B192=Lists!$E$6),12,24)),"Long","Short")))</f>
        <v/>
      </c>
      <c r="L192" s="20" t="str">
        <f aca="false">IF(K192="","",IF(AND(B192=Lists!$E$5,K192="Long",C192&lt;DATE(2018,2,1),N(I192)&gt;0),MAX(G192,MIN(I192,E192)),IF(AND(C192&lt;DATE(2001,4,1),N(I192)&gt;0,B192&lt;&gt;Lists!$E$5),I192,G192)))</f>
        <v/>
      </c>
      <c r="M192" s="20" t="str">
        <f aca="false">IF(K192="","",E192-F192-L192-H192)</f>
        <v/>
      </c>
      <c r="N192" s="20" t="str">
        <f aca="false">IF(K192="","",IF(AND(K192="Long",B192=Lists!$E$7,C192&lt;DATE(2024,7,23)),ROUND((L192+H192)*INDEX(Lists!$C$5:$C$30,MATCH(MIN(MAX(Lists!$B$5:$B$30),YEAR(D192)-IF(MONTH(D192)&lt;4,1,0)),Lists!$B$5:$B$30,0))/INDEX(Lists!$C$5:$C$30,MATCH(MAX(2001,YEAR(C192)-IF(MONTH(C192)&lt;4,1,0)),Lists!$B$5:$B$30,0)),0),""))</f>
        <v/>
      </c>
      <c r="O192" s="20" t="str">
        <f aca="false">IF(N192="","",E192-F192-N192)</f>
        <v/>
      </c>
      <c r="P192" s="21" t="str">
        <f aca="false">IF(K192="","",IF(K192="Short",IF(B192=Lists!$E$5,"ST 20%","ST slab"),IF(B192=Lists!$E$5,"LT 112A",IF(N192="","LT 12.5%",IF(AND(M192&gt;0,O192*0.2&lt;M192*0.125),"LT 20% indexed","LT 12.5%")))))</f>
        <v/>
      </c>
      <c r="Q192" s="22" t="str">
        <f aca="false">IF(P192="","",IF(P192="LT 20% indexed",MAX(0,O192),M192))</f>
        <v/>
      </c>
    </row>
    <row r="193" customFormat="false" ht="15" hidden="false" customHeight="true" outlineLevel="0" collapsed="false">
      <c r="A193" s="23"/>
      <c r="B193" s="23"/>
      <c r="C193" s="24"/>
      <c r="D193" s="24"/>
      <c r="E193" s="25"/>
      <c r="F193" s="25"/>
      <c r="G193" s="25"/>
      <c r="H193" s="25"/>
      <c r="I193" s="25"/>
      <c r="J193" s="20" t="str">
        <f aca="false">IF(OR(B193="",C193="",D193=""),"",DATEDIF(C193,D193,"m"))</f>
        <v/>
      </c>
      <c r="K193" s="21" t="str">
        <f aca="false">IF(OR(B193="",C193="",D193=""),"",IF(B193=Lists!$E$10,"Short",IF(D193&gt;EDATE(C193,IF(OR(B193=Lists!$E$5,B193=Lists!$E$6),12,24)),"Long","Short")))</f>
        <v/>
      </c>
      <c r="L193" s="20" t="str">
        <f aca="false">IF(K193="","",IF(AND(B193=Lists!$E$5,K193="Long",C193&lt;DATE(2018,2,1),N(I193)&gt;0),MAX(G193,MIN(I193,E193)),IF(AND(C193&lt;DATE(2001,4,1),N(I193)&gt;0,B193&lt;&gt;Lists!$E$5),I193,G193)))</f>
        <v/>
      </c>
      <c r="M193" s="20" t="str">
        <f aca="false">IF(K193="","",E193-F193-L193-H193)</f>
        <v/>
      </c>
      <c r="N193" s="20" t="str">
        <f aca="false">IF(K193="","",IF(AND(K193="Long",B193=Lists!$E$7,C193&lt;DATE(2024,7,23)),ROUND((L193+H193)*INDEX(Lists!$C$5:$C$30,MATCH(MIN(MAX(Lists!$B$5:$B$30),YEAR(D193)-IF(MONTH(D193)&lt;4,1,0)),Lists!$B$5:$B$30,0))/INDEX(Lists!$C$5:$C$30,MATCH(MAX(2001,YEAR(C193)-IF(MONTH(C193)&lt;4,1,0)),Lists!$B$5:$B$30,0)),0),""))</f>
        <v/>
      </c>
      <c r="O193" s="20" t="str">
        <f aca="false">IF(N193="","",E193-F193-N193)</f>
        <v/>
      </c>
      <c r="P193" s="21" t="str">
        <f aca="false">IF(K193="","",IF(K193="Short",IF(B193=Lists!$E$5,"ST 20%","ST slab"),IF(B193=Lists!$E$5,"LT 112A",IF(N193="","LT 12.5%",IF(AND(M193&gt;0,O193*0.2&lt;M193*0.125),"LT 20% indexed","LT 12.5%")))))</f>
        <v/>
      </c>
      <c r="Q193" s="22" t="str">
        <f aca="false">IF(P193="","",IF(P193="LT 20% indexed",MAX(0,O193),M193))</f>
        <v/>
      </c>
    </row>
    <row r="194" customFormat="false" ht="15" hidden="false" customHeight="true" outlineLevel="0" collapsed="false">
      <c r="A194" s="23"/>
      <c r="B194" s="23"/>
      <c r="C194" s="24"/>
      <c r="D194" s="24"/>
      <c r="E194" s="25"/>
      <c r="F194" s="25"/>
      <c r="G194" s="25"/>
      <c r="H194" s="25"/>
      <c r="I194" s="25"/>
      <c r="J194" s="20" t="str">
        <f aca="false">IF(OR(B194="",C194="",D194=""),"",DATEDIF(C194,D194,"m"))</f>
        <v/>
      </c>
      <c r="K194" s="21" t="str">
        <f aca="false">IF(OR(B194="",C194="",D194=""),"",IF(B194=Lists!$E$10,"Short",IF(D194&gt;EDATE(C194,IF(OR(B194=Lists!$E$5,B194=Lists!$E$6),12,24)),"Long","Short")))</f>
        <v/>
      </c>
      <c r="L194" s="20" t="str">
        <f aca="false">IF(K194="","",IF(AND(B194=Lists!$E$5,K194="Long",C194&lt;DATE(2018,2,1),N(I194)&gt;0),MAX(G194,MIN(I194,E194)),IF(AND(C194&lt;DATE(2001,4,1),N(I194)&gt;0,B194&lt;&gt;Lists!$E$5),I194,G194)))</f>
        <v/>
      </c>
      <c r="M194" s="20" t="str">
        <f aca="false">IF(K194="","",E194-F194-L194-H194)</f>
        <v/>
      </c>
      <c r="N194" s="20" t="str">
        <f aca="false">IF(K194="","",IF(AND(K194="Long",B194=Lists!$E$7,C194&lt;DATE(2024,7,23)),ROUND((L194+H194)*INDEX(Lists!$C$5:$C$30,MATCH(MIN(MAX(Lists!$B$5:$B$30),YEAR(D194)-IF(MONTH(D194)&lt;4,1,0)),Lists!$B$5:$B$30,0))/INDEX(Lists!$C$5:$C$30,MATCH(MAX(2001,YEAR(C194)-IF(MONTH(C194)&lt;4,1,0)),Lists!$B$5:$B$30,0)),0),""))</f>
        <v/>
      </c>
      <c r="O194" s="20" t="str">
        <f aca="false">IF(N194="","",E194-F194-N194)</f>
        <v/>
      </c>
      <c r="P194" s="21" t="str">
        <f aca="false">IF(K194="","",IF(K194="Short",IF(B194=Lists!$E$5,"ST 20%","ST slab"),IF(B194=Lists!$E$5,"LT 112A",IF(N194="","LT 12.5%",IF(AND(M194&gt;0,O194*0.2&lt;M194*0.125),"LT 20% indexed","LT 12.5%")))))</f>
        <v/>
      </c>
      <c r="Q194" s="22" t="str">
        <f aca="false">IF(P194="","",IF(P194="LT 20% indexed",MAX(0,O194),M194))</f>
        <v/>
      </c>
    </row>
    <row r="195" customFormat="false" ht="15" hidden="false" customHeight="true" outlineLevel="0" collapsed="false">
      <c r="A195" s="23"/>
      <c r="B195" s="23"/>
      <c r="C195" s="24"/>
      <c r="D195" s="24"/>
      <c r="E195" s="25"/>
      <c r="F195" s="25"/>
      <c r="G195" s="25"/>
      <c r="H195" s="25"/>
      <c r="I195" s="25"/>
      <c r="J195" s="20" t="str">
        <f aca="false">IF(OR(B195="",C195="",D195=""),"",DATEDIF(C195,D195,"m"))</f>
        <v/>
      </c>
      <c r="K195" s="21" t="str">
        <f aca="false">IF(OR(B195="",C195="",D195=""),"",IF(B195=Lists!$E$10,"Short",IF(D195&gt;EDATE(C195,IF(OR(B195=Lists!$E$5,B195=Lists!$E$6),12,24)),"Long","Short")))</f>
        <v/>
      </c>
      <c r="L195" s="20" t="str">
        <f aca="false">IF(K195="","",IF(AND(B195=Lists!$E$5,K195="Long",C195&lt;DATE(2018,2,1),N(I195)&gt;0),MAX(G195,MIN(I195,E195)),IF(AND(C195&lt;DATE(2001,4,1),N(I195)&gt;0,B195&lt;&gt;Lists!$E$5),I195,G195)))</f>
        <v/>
      </c>
      <c r="M195" s="20" t="str">
        <f aca="false">IF(K195="","",E195-F195-L195-H195)</f>
        <v/>
      </c>
      <c r="N195" s="20" t="str">
        <f aca="false">IF(K195="","",IF(AND(K195="Long",B195=Lists!$E$7,C195&lt;DATE(2024,7,23)),ROUND((L195+H195)*INDEX(Lists!$C$5:$C$30,MATCH(MIN(MAX(Lists!$B$5:$B$30),YEAR(D195)-IF(MONTH(D195)&lt;4,1,0)),Lists!$B$5:$B$30,0))/INDEX(Lists!$C$5:$C$30,MATCH(MAX(2001,YEAR(C195)-IF(MONTH(C195)&lt;4,1,0)),Lists!$B$5:$B$30,0)),0),""))</f>
        <v/>
      </c>
      <c r="O195" s="20" t="str">
        <f aca="false">IF(N195="","",E195-F195-N195)</f>
        <v/>
      </c>
      <c r="P195" s="21" t="str">
        <f aca="false">IF(K195="","",IF(K195="Short",IF(B195=Lists!$E$5,"ST 20%","ST slab"),IF(B195=Lists!$E$5,"LT 112A",IF(N195="","LT 12.5%",IF(AND(M195&gt;0,O195*0.2&lt;M195*0.125),"LT 20% indexed","LT 12.5%")))))</f>
        <v/>
      </c>
      <c r="Q195" s="22" t="str">
        <f aca="false">IF(P195="","",IF(P195="LT 20% indexed",MAX(0,O195),M195))</f>
        <v/>
      </c>
    </row>
    <row r="196" customFormat="false" ht="15" hidden="false" customHeight="true" outlineLevel="0" collapsed="false">
      <c r="A196" s="23"/>
      <c r="B196" s="23"/>
      <c r="C196" s="24"/>
      <c r="D196" s="24"/>
      <c r="E196" s="25"/>
      <c r="F196" s="25"/>
      <c r="G196" s="25"/>
      <c r="H196" s="25"/>
      <c r="I196" s="25"/>
      <c r="J196" s="20" t="str">
        <f aca="false">IF(OR(B196="",C196="",D196=""),"",DATEDIF(C196,D196,"m"))</f>
        <v/>
      </c>
      <c r="K196" s="21" t="str">
        <f aca="false">IF(OR(B196="",C196="",D196=""),"",IF(B196=Lists!$E$10,"Short",IF(D196&gt;EDATE(C196,IF(OR(B196=Lists!$E$5,B196=Lists!$E$6),12,24)),"Long","Short")))</f>
        <v/>
      </c>
      <c r="L196" s="20" t="str">
        <f aca="false">IF(K196="","",IF(AND(B196=Lists!$E$5,K196="Long",C196&lt;DATE(2018,2,1),N(I196)&gt;0),MAX(G196,MIN(I196,E196)),IF(AND(C196&lt;DATE(2001,4,1),N(I196)&gt;0,B196&lt;&gt;Lists!$E$5),I196,G196)))</f>
        <v/>
      </c>
      <c r="M196" s="20" t="str">
        <f aca="false">IF(K196="","",E196-F196-L196-H196)</f>
        <v/>
      </c>
      <c r="N196" s="20" t="str">
        <f aca="false">IF(K196="","",IF(AND(K196="Long",B196=Lists!$E$7,C196&lt;DATE(2024,7,23)),ROUND((L196+H196)*INDEX(Lists!$C$5:$C$30,MATCH(MIN(MAX(Lists!$B$5:$B$30),YEAR(D196)-IF(MONTH(D196)&lt;4,1,0)),Lists!$B$5:$B$30,0))/INDEX(Lists!$C$5:$C$30,MATCH(MAX(2001,YEAR(C196)-IF(MONTH(C196)&lt;4,1,0)),Lists!$B$5:$B$30,0)),0),""))</f>
        <v/>
      </c>
      <c r="O196" s="20" t="str">
        <f aca="false">IF(N196="","",E196-F196-N196)</f>
        <v/>
      </c>
      <c r="P196" s="21" t="str">
        <f aca="false">IF(K196="","",IF(K196="Short",IF(B196=Lists!$E$5,"ST 20%","ST slab"),IF(B196=Lists!$E$5,"LT 112A",IF(N196="","LT 12.5%",IF(AND(M196&gt;0,O196*0.2&lt;M196*0.125),"LT 20% indexed","LT 12.5%")))))</f>
        <v/>
      </c>
      <c r="Q196" s="22" t="str">
        <f aca="false">IF(P196="","",IF(P196="LT 20% indexed",MAX(0,O196),M196))</f>
        <v/>
      </c>
    </row>
    <row r="197" customFormat="false" ht="15" hidden="false" customHeight="true" outlineLevel="0" collapsed="false">
      <c r="A197" s="23"/>
      <c r="B197" s="23"/>
      <c r="C197" s="24"/>
      <c r="D197" s="24"/>
      <c r="E197" s="25"/>
      <c r="F197" s="25"/>
      <c r="G197" s="25"/>
      <c r="H197" s="25"/>
      <c r="I197" s="25"/>
      <c r="J197" s="20" t="str">
        <f aca="false">IF(OR(B197="",C197="",D197=""),"",DATEDIF(C197,D197,"m"))</f>
        <v/>
      </c>
      <c r="K197" s="21" t="str">
        <f aca="false">IF(OR(B197="",C197="",D197=""),"",IF(B197=Lists!$E$10,"Short",IF(D197&gt;EDATE(C197,IF(OR(B197=Lists!$E$5,B197=Lists!$E$6),12,24)),"Long","Short")))</f>
        <v/>
      </c>
      <c r="L197" s="20" t="str">
        <f aca="false">IF(K197="","",IF(AND(B197=Lists!$E$5,K197="Long",C197&lt;DATE(2018,2,1),N(I197)&gt;0),MAX(G197,MIN(I197,E197)),IF(AND(C197&lt;DATE(2001,4,1),N(I197)&gt;0,B197&lt;&gt;Lists!$E$5),I197,G197)))</f>
        <v/>
      </c>
      <c r="M197" s="20" t="str">
        <f aca="false">IF(K197="","",E197-F197-L197-H197)</f>
        <v/>
      </c>
      <c r="N197" s="20" t="str">
        <f aca="false">IF(K197="","",IF(AND(K197="Long",B197=Lists!$E$7,C197&lt;DATE(2024,7,23)),ROUND((L197+H197)*INDEX(Lists!$C$5:$C$30,MATCH(MIN(MAX(Lists!$B$5:$B$30),YEAR(D197)-IF(MONTH(D197)&lt;4,1,0)),Lists!$B$5:$B$30,0))/INDEX(Lists!$C$5:$C$30,MATCH(MAX(2001,YEAR(C197)-IF(MONTH(C197)&lt;4,1,0)),Lists!$B$5:$B$30,0)),0),""))</f>
        <v/>
      </c>
      <c r="O197" s="20" t="str">
        <f aca="false">IF(N197="","",E197-F197-N197)</f>
        <v/>
      </c>
      <c r="P197" s="21" t="str">
        <f aca="false">IF(K197="","",IF(K197="Short",IF(B197=Lists!$E$5,"ST 20%","ST slab"),IF(B197=Lists!$E$5,"LT 112A",IF(N197="","LT 12.5%",IF(AND(M197&gt;0,O197*0.2&lt;M197*0.125),"LT 20% indexed","LT 12.5%")))))</f>
        <v/>
      </c>
      <c r="Q197" s="22" t="str">
        <f aca="false">IF(P197="","",IF(P197="LT 20% indexed",MAX(0,O197),M197))</f>
        <v/>
      </c>
    </row>
    <row r="198" customFormat="false" ht="15" hidden="false" customHeight="true" outlineLevel="0" collapsed="false">
      <c r="A198" s="23"/>
      <c r="B198" s="23"/>
      <c r="C198" s="24"/>
      <c r="D198" s="24"/>
      <c r="E198" s="25"/>
      <c r="F198" s="25"/>
      <c r="G198" s="25"/>
      <c r="H198" s="25"/>
      <c r="I198" s="25"/>
      <c r="J198" s="20" t="str">
        <f aca="false">IF(OR(B198="",C198="",D198=""),"",DATEDIF(C198,D198,"m"))</f>
        <v/>
      </c>
      <c r="K198" s="21" t="str">
        <f aca="false">IF(OR(B198="",C198="",D198=""),"",IF(B198=Lists!$E$10,"Short",IF(D198&gt;EDATE(C198,IF(OR(B198=Lists!$E$5,B198=Lists!$E$6),12,24)),"Long","Short")))</f>
        <v/>
      </c>
      <c r="L198" s="20" t="str">
        <f aca="false">IF(K198="","",IF(AND(B198=Lists!$E$5,K198="Long",C198&lt;DATE(2018,2,1),N(I198)&gt;0),MAX(G198,MIN(I198,E198)),IF(AND(C198&lt;DATE(2001,4,1),N(I198)&gt;0,B198&lt;&gt;Lists!$E$5),I198,G198)))</f>
        <v/>
      </c>
      <c r="M198" s="20" t="str">
        <f aca="false">IF(K198="","",E198-F198-L198-H198)</f>
        <v/>
      </c>
      <c r="N198" s="20" t="str">
        <f aca="false">IF(K198="","",IF(AND(K198="Long",B198=Lists!$E$7,C198&lt;DATE(2024,7,23)),ROUND((L198+H198)*INDEX(Lists!$C$5:$C$30,MATCH(MIN(MAX(Lists!$B$5:$B$30),YEAR(D198)-IF(MONTH(D198)&lt;4,1,0)),Lists!$B$5:$B$30,0))/INDEX(Lists!$C$5:$C$30,MATCH(MAX(2001,YEAR(C198)-IF(MONTH(C198)&lt;4,1,0)),Lists!$B$5:$B$30,0)),0),""))</f>
        <v/>
      </c>
      <c r="O198" s="20" t="str">
        <f aca="false">IF(N198="","",E198-F198-N198)</f>
        <v/>
      </c>
      <c r="P198" s="21" t="str">
        <f aca="false">IF(K198="","",IF(K198="Short",IF(B198=Lists!$E$5,"ST 20%","ST slab"),IF(B198=Lists!$E$5,"LT 112A",IF(N198="","LT 12.5%",IF(AND(M198&gt;0,O198*0.2&lt;M198*0.125),"LT 20% indexed","LT 12.5%")))))</f>
        <v/>
      </c>
      <c r="Q198" s="22" t="str">
        <f aca="false">IF(P198="","",IF(P198="LT 20% indexed",MAX(0,O198),M198))</f>
        <v/>
      </c>
    </row>
    <row r="199" customFormat="false" ht="15" hidden="false" customHeight="true" outlineLevel="0" collapsed="false">
      <c r="A199" s="23"/>
      <c r="B199" s="23"/>
      <c r="C199" s="24"/>
      <c r="D199" s="24"/>
      <c r="E199" s="25"/>
      <c r="F199" s="25"/>
      <c r="G199" s="25"/>
      <c r="H199" s="25"/>
      <c r="I199" s="25"/>
      <c r="J199" s="20" t="str">
        <f aca="false">IF(OR(B199="",C199="",D199=""),"",DATEDIF(C199,D199,"m"))</f>
        <v/>
      </c>
      <c r="K199" s="21" t="str">
        <f aca="false">IF(OR(B199="",C199="",D199=""),"",IF(B199=Lists!$E$10,"Short",IF(D199&gt;EDATE(C199,IF(OR(B199=Lists!$E$5,B199=Lists!$E$6),12,24)),"Long","Short")))</f>
        <v/>
      </c>
      <c r="L199" s="20" t="str">
        <f aca="false">IF(K199="","",IF(AND(B199=Lists!$E$5,K199="Long",C199&lt;DATE(2018,2,1),N(I199)&gt;0),MAX(G199,MIN(I199,E199)),IF(AND(C199&lt;DATE(2001,4,1),N(I199)&gt;0,B199&lt;&gt;Lists!$E$5),I199,G199)))</f>
        <v/>
      </c>
      <c r="M199" s="20" t="str">
        <f aca="false">IF(K199="","",E199-F199-L199-H199)</f>
        <v/>
      </c>
      <c r="N199" s="20" t="str">
        <f aca="false">IF(K199="","",IF(AND(K199="Long",B199=Lists!$E$7,C199&lt;DATE(2024,7,23)),ROUND((L199+H199)*INDEX(Lists!$C$5:$C$30,MATCH(MIN(MAX(Lists!$B$5:$B$30),YEAR(D199)-IF(MONTH(D199)&lt;4,1,0)),Lists!$B$5:$B$30,0))/INDEX(Lists!$C$5:$C$30,MATCH(MAX(2001,YEAR(C199)-IF(MONTH(C199)&lt;4,1,0)),Lists!$B$5:$B$30,0)),0),""))</f>
        <v/>
      </c>
      <c r="O199" s="20" t="str">
        <f aca="false">IF(N199="","",E199-F199-N199)</f>
        <v/>
      </c>
      <c r="P199" s="21" t="str">
        <f aca="false">IF(K199="","",IF(K199="Short",IF(B199=Lists!$E$5,"ST 20%","ST slab"),IF(B199=Lists!$E$5,"LT 112A",IF(N199="","LT 12.5%",IF(AND(M199&gt;0,O199*0.2&lt;M199*0.125),"LT 20% indexed","LT 12.5%")))))</f>
        <v/>
      </c>
      <c r="Q199" s="22" t="str">
        <f aca="false">IF(P199="","",IF(P199="LT 20% indexed",MAX(0,O199),M199))</f>
        <v/>
      </c>
    </row>
    <row r="200" customFormat="false" ht="15" hidden="false" customHeight="true" outlineLevel="0" collapsed="false">
      <c r="A200" s="23"/>
      <c r="B200" s="23"/>
      <c r="C200" s="24"/>
      <c r="D200" s="24"/>
      <c r="E200" s="25"/>
      <c r="F200" s="25"/>
      <c r="G200" s="25"/>
      <c r="H200" s="25"/>
      <c r="I200" s="25"/>
      <c r="J200" s="20" t="str">
        <f aca="false">IF(OR(B200="",C200="",D200=""),"",DATEDIF(C200,D200,"m"))</f>
        <v/>
      </c>
      <c r="K200" s="21" t="str">
        <f aca="false">IF(OR(B200="",C200="",D200=""),"",IF(B200=Lists!$E$10,"Short",IF(D200&gt;EDATE(C200,IF(OR(B200=Lists!$E$5,B200=Lists!$E$6),12,24)),"Long","Short")))</f>
        <v/>
      </c>
      <c r="L200" s="20" t="str">
        <f aca="false">IF(K200="","",IF(AND(B200=Lists!$E$5,K200="Long",C200&lt;DATE(2018,2,1),N(I200)&gt;0),MAX(G200,MIN(I200,E200)),IF(AND(C200&lt;DATE(2001,4,1),N(I200)&gt;0,B200&lt;&gt;Lists!$E$5),I200,G200)))</f>
        <v/>
      </c>
      <c r="M200" s="20" t="str">
        <f aca="false">IF(K200="","",E200-F200-L200-H200)</f>
        <v/>
      </c>
      <c r="N200" s="20" t="str">
        <f aca="false">IF(K200="","",IF(AND(K200="Long",B200=Lists!$E$7,C200&lt;DATE(2024,7,23)),ROUND((L200+H200)*INDEX(Lists!$C$5:$C$30,MATCH(MIN(MAX(Lists!$B$5:$B$30),YEAR(D200)-IF(MONTH(D200)&lt;4,1,0)),Lists!$B$5:$B$30,0))/INDEX(Lists!$C$5:$C$30,MATCH(MAX(2001,YEAR(C200)-IF(MONTH(C200)&lt;4,1,0)),Lists!$B$5:$B$30,0)),0),""))</f>
        <v/>
      </c>
      <c r="O200" s="20" t="str">
        <f aca="false">IF(N200="","",E200-F200-N200)</f>
        <v/>
      </c>
      <c r="P200" s="21" t="str">
        <f aca="false">IF(K200="","",IF(K200="Short",IF(B200=Lists!$E$5,"ST 20%","ST slab"),IF(B200=Lists!$E$5,"LT 112A",IF(N200="","LT 12.5%",IF(AND(M200&gt;0,O200*0.2&lt;M200*0.125),"LT 20% indexed","LT 12.5%")))))</f>
        <v/>
      </c>
      <c r="Q200" s="22" t="str">
        <f aca="false">IF(P200="","",IF(P200="LT 20% indexed",MAX(0,O200),M200))</f>
        <v/>
      </c>
    </row>
    <row r="201" customFormat="false" ht="15" hidden="false" customHeight="true" outlineLevel="0" collapsed="false">
      <c r="A201" s="23"/>
      <c r="B201" s="23"/>
      <c r="C201" s="24"/>
      <c r="D201" s="24"/>
      <c r="E201" s="25"/>
      <c r="F201" s="25"/>
      <c r="G201" s="25"/>
      <c r="H201" s="25"/>
      <c r="I201" s="25"/>
      <c r="J201" s="20" t="str">
        <f aca="false">IF(OR(B201="",C201="",D201=""),"",DATEDIF(C201,D201,"m"))</f>
        <v/>
      </c>
      <c r="K201" s="21" t="str">
        <f aca="false">IF(OR(B201="",C201="",D201=""),"",IF(B201=Lists!$E$10,"Short",IF(D201&gt;EDATE(C201,IF(OR(B201=Lists!$E$5,B201=Lists!$E$6),12,24)),"Long","Short")))</f>
        <v/>
      </c>
      <c r="L201" s="20" t="str">
        <f aca="false">IF(K201="","",IF(AND(B201=Lists!$E$5,K201="Long",C201&lt;DATE(2018,2,1),N(I201)&gt;0),MAX(G201,MIN(I201,E201)),IF(AND(C201&lt;DATE(2001,4,1),N(I201)&gt;0,B201&lt;&gt;Lists!$E$5),I201,G201)))</f>
        <v/>
      </c>
      <c r="M201" s="20" t="str">
        <f aca="false">IF(K201="","",E201-F201-L201-H201)</f>
        <v/>
      </c>
      <c r="N201" s="20" t="str">
        <f aca="false">IF(K201="","",IF(AND(K201="Long",B201=Lists!$E$7,C201&lt;DATE(2024,7,23)),ROUND((L201+H201)*INDEX(Lists!$C$5:$C$30,MATCH(MIN(MAX(Lists!$B$5:$B$30),YEAR(D201)-IF(MONTH(D201)&lt;4,1,0)),Lists!$B$5:$B$30,0))/INDEX(Lists!$C$5:$C$30,MATCH(MAX(2001,YEAR(C201)-IF(MONTH(C201)&lt;4,1,0)),Lists!$B$5:$B$30,0)),0),""))</f>
        <v/>
      </c>
      <c r="O201" s="20" t="str">
        <f aca="false">IF(N201="","",E201-F201-N201)</f>
        <v/>
      </c>
      <c r="P201" s="21" t="str">
        <f aca="false">IF(K201="","",IF(K201="Short",IF(B201=Lists!$E$5,"ST 20%","ST slab"),IF(B201=Lists!$E$5,"LT 112A",IF(N201="","LT 12.5%",IF(AND(M201&gt;0,O201*0.2&lt;M201*0.125),"LT 20% indexed","LT 12.5%")))))</f>
        <v/>
      </c>
      <c r="Q201" s="22" t="str">
        <f aca="false">IF(P201="","",IF(P201="LT 20% indexed",MAX(0,O201),M201))</f>
        <v/>
      </c>
    </row>
    <row r="202" customFormat="false" ht="15" hidden="false" customHeight="true" outlineLevel="0" collapsed="false">
      <c r="A202" s="23"/>
      <c r="B202" s="23"/>
      <c r="C202" s="24"/>
      <c r="D202" s="24"/>
      <c r="E202" s="25"/>
      <c r="F202" s="25"/>
      <c r="G202" s="25"/>
      <c r="H202" s="25"/>
      <c r="I202" s="25"/>
      <c r="J202" s="20" t="str">
        <f aca="false">IF(OR(B202="",C202="",D202=""),"",DATEDIF(C202,D202,"m"))</f>
        <v/>
      </c>
      <c r="K202" s="21" t="str">
        <f aca="false">IF(OR(B202="",C202="",D202=""),"",IF(B202=Lists!$E$10,"Short",IF(D202&gt;EDATE(C202,IF(OR(B202=Lists!$E$5,B202=Lists!$E$6),12,24)),"Long","Short")))</f>
        <v/>
      </c>
      <c r="L202" s="20" t="str">
        <f aca="false">IF(K202="","",IF(AND(B202=Lists!$E$5,K202="Long",C202&lt;DATE(2018,2,1),N(I202)&gt;0),MAX(G202,MIN(I202,E202)),IF(AND(C202&lt;DATE(2001,4,1),N(I202)&gt;0,B202&lt;&gt;Lists!$E$5),I202,G202)))</f>
        <v/>
      </c>
      <c r="M202" s="20" t="str">
        <f aca="false">IF(K202="","",E202-F202-L202-H202)</f>
        <v/>
      </c>
      <c r="N202" s="20" t="str">
        <f aca="false">IF(K202="","",IF(AND(K202="Long",B202=Lists!$E$7,C202&lt;DATE(2024,7,23)),ROUND((L202+H202)*INDEX(Lists!$C$5:$C$30,MATCH(MIN(MAX(Lists!$B$5:$B$30),YEAR(D202)-IF(MONTH(D202)&lt;4,1,0)),Lists!$B$5:$B$30,0))/INDEX(Lists!$C$5:$C$30,MATCH(MAX(2001,YEAR(C202)-IF(MONTH(C202)&lt;4,1,0)),Lists!$B$5:$B$30,0)),0),""))</f>
        <v/>
      </c>
      <c r="O202" s="20" t="str">
        <f aca="false">IF(N202="","",E202-F202-N202)</f>
        <v/>
      </c>
      <c r="P202" s="21" t="str">
        <f aca="false">IF(K202="","",IF(K202="Short",IF(B202=Lists!$E$5,"ST 20%","ST slab"),IF(B202=Lists!$E$5,"LT 112A",IF(N202="","LT 12.5%",IF(AND(M202&gt;0,O202*0.2&lt;M202*0.125),"LT 20% indexed","LT 12.5%")))))</f>
        <v/>
      </c>
      <c r="Q202" s="22" t="str">
        <f aca="false">IF(P202="","",IF(P202="LT 20% indexed",MAX(0,O202),M202))</f>
        <v/>
      </c>
    </row>
    <row r="203" customFormat="false" ht="15" hidden="false" customHeight="true" outlineLevel="0" collapsed="false">
      <c r="A203" s="23"/>
      <c r="B203" s="23"/>
      <c r="C203" s="24"/>
      <c r="D203" s="24"/>
      <c r="E203" s="25"/>
      <c r="F203" s="25"/>
      <c r="G203" s="25"/>
      <c r="H203" s="25"/>
      <c r="I203" s="25"/>
      <c r="J203" s="20" t="str">
        <f aca="false">IF(OR(B203="",C203="",D203=""),"",DATEDIF(C203,D203,"m"))</f>
        <v/>
      </c>
      <c r="K203" s="21" t="str">
        <f aca="false">IF(OR(B203="",C203="",D203=""),"",IF(B203=Lists!$E$10,"Short",IF(D203&gt;EDATE(C203,IF(OR(B203=Lists!$E$5,B203=Lists!$E$6),12,24)),"Long","Short")))</f>
        <v/>
      </c>
      <c r="L203" s="20" t="str">
        <f aca="false">IF(K203="","",IF(AND(B203=Lists!$E$5,K203="Long",C203&lt;DATE(2018,2,1),N(I203)&gt;0),MAX(G203,MIN(I203,E203)),IF(AND(C203&lt;DATE(2001,4,1),N(I203)&gt;0,B203&lt;&gt;Lists!$E$5),I203,G203)))</f>
        <v/>
      </c>
      <c r="M203" s="20" t="str">
        <f aca="false">IF(K203="","",E203-F203-L203-H203)</f>
        <v/>
      </c>
      <c r="N203" s="20" t="str">
        <f aca="false">IF(K203="","",IF(AND(K203="Long",B203=Lists!$E$7,C203&lt;DATE(2024,7,23)),ROUND((L203+H203)*INDEX(Lists!$C$5:$C$30,MATCH(MIN(MAX(Lists!$B$5:$B$30),YEAR(D203)-IF(MONTH(D203)&lt;4,1,0)),Lists!$B$5:$B$30,0))/INDEX(Lists!$C$5:$C$30,MATCH(MAX(2001,YEAR(C203)-IF(MONTH(C203)&lt;4,1,0)),Lists!$B$5:$B$30,0)),0),""))</f>
        <v/>
      </c>
      <c r="O203" s="20" t="str">
        <f aca="false">IF(N203="","",E203-F203-N203)</f>
        <v/>
      </c>
      <c r="P203" s="21" t="str">
        <f aca="false">IF(K203="","",IF(K203="Short",IF(B203=Lists!$E$5,"ST 20%","ST slab"),IF(B203=Lists!$E$5,"LT 112A",IF(N203="","LT 12.5%",IF(AND(M203&gt;0,O203*0.2&lt;M203*0.125),"LT 20% indexed","LT 12.5%")))))</f>
        <v/>
      </c>
      <c r="Q203" s="22" t="str">
        <f aca="false">IF(P203="","",IF(P203="LT 20% indexed",MAX(0,O203),M203))</f>
        <v/>
      </c>
    </row>
    <row r="204" customFormat="false" ht="15" hidden="false" customHeight="true" outlineLevel="0" collapsed="false">
      <c r="A204" s="23"/>
      <c r="B204" s="23"/>
      <c r="C204" s="24"/>
      <c r="D204" s="24"/>
      <c r="E204" s="25"/>
      <c r="F204" s="25"/>
      <c r="G204" s="25"/>
      <c r="H204" s="25"/>
      <c r="I204" s="25"/>
      <c r="J204" s="20" t="str">
        <f aca="false">IF(OR(B204="",C204="",D204=""),"",DATEDIF(C204,D204,"m"))</f>
        <v/>
      </c>
      <c r="K204" s="21" t="str">
        <f aca="false">IF(OR(B204="",C204="",D204=""),"",IF(B204=Lists!$E$10,"Short",IF(D204&gt;EDATE(C204,IF(OR(B204=Lists!$E$5,B204=Lists!$E$6),12,24)),"Long","Short")))</f>
        <v/>
      </c>
      <c r="L204" s="20" t="str">
        <f aca="false">IF(K204="","",IF(AND(B204=Lists!$E$5,K204="Long",C204&lt;DATE(2018,2,1),N(I204)&gt;0),MAX(G204,MIN(I204,E204)),IF(AND(C204&lt;DATE(2001,4,1),N(I204)&gt;0,B204&lt;&gt;Lists!$E$5),I204,G204)))</f>
        <v/>
      </c>
      <c r="M204" s="20" t="str">
        <f aca="false">IF(K204="","",E204-F204-L204-H204)</f>
        <v/>
      </c>
      <c r="N204" s="20" t="str">
        <f aca="false">IF(K204="","",IF(AND(K204="Long",B204=Lists!$E$7,C204&lt;DATE(2024,7,23)),ROUND((L204+H204)*INDEX(Lists!$C$5:$C$30,MATCH(MIN(MAX(Lists!$B$5:$B$30),YEAR(D204)-IF(MONTH(D204)&lt;4,1,0)),Lists!$B$5:$B$30,0))/INDEX(Lists!$C$5:$C$30,MATCH(MAX(2001,YEAR(C204)-IF(MONTH(C204)&lt;4,1,0)),Lists!$B$5:$B$30,0)),0),""))</f>
        <v/>
      </c>
      <c r="O204" s="20" t="str">
        <f aca="false">IF(N204="","",E204-F204-N204)</f>
        <v/>
      </c>
      <c r="P204" s="21" t="str">
        <f aca="false">IF(K204="","",IF(K204="Short",IF(B204=Lists!$E$5,"ST 20%","ST slab"),IF(B204=Lists!$E$5,"LT 112A",IF(N204="","LT 12.5%",IF(AND(M204&gt;0,O204*0.2&lt;M204*0.125),"LT 20% indexed","LT 12.5%")))))</f>
        <v/>
      </c>
      <c r="Q204" s="22" t="str">
        <f aca="false">IF(P204="","",IF(P204="LT 20% indexed",MAX(0,O204),M204))</f>
        <v/>
      </c>
    </row>
    <row r="206" customFormat="false" ht="15" hidden="false" customHeight="true" outlineLevel="0" collapsed="false">
      <c r="A206" s="3" t="s">
        <v>87</v>
      </c>
    </row>
  </sheetData>
  <autoFilter ref="A4:Q204"/>
  <conditionalFormatting sqref="Q5:Q204">
    <cfRule type="cellIs" priority="2" operator="lessThan" aboveAverage="0" equalAverage="0" bottom="0" percent="0" rank="0" text="" dxfId="6">
      <formula>0</formula>
    </cfRule>
  </conditionalFormatting>
  <dataValidations count="1">
    <dataValidation allowBlank="true" errorStyle="stop" operator="between" prompt="Asset type" promptTitle="Select" showDropDown="false" showErrorMessage="false" showInputMessage="true" sqref="B5:B204" type="list">
      <formula1>Lists!$E$5:$E$11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L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8" min="2" style="1" width="14"/>
    <col collapsed="false" customWidth="true" hidden="false" outlineLevel="0" max="9" min="9" style="1" width="13"/>
    <col collapsed="false" customWidth="true" hidden="false" outlineLevel="0" max="10" min="10" style="1" width="14"/>
    <col collapsed="false" customWidth="true" hidden="false" outlineLevel="0" max="11" min="11" style="1" width="9"/>
    <col collapsed="false" customWidth="true" hidden="false" outlineLevel="0" max="12" min="12" style="1" width="13"/>
  </cols>
  <sheetData>
    <row r="1" customFormat="false" ht="21.75" hidden="false" customHeight="true" outlineLevel="0" collapsed="false">
      <c r="A1" s="13" t="s">
        <v>88</v>
      </c>
      <c r="L1" s="14" t="s">
        <v>51</v>
      </c>
    </row>
    <row r="2" customFormat="false" ht="15" hidden="false" customHeight="true" outlineLevel="0" collapsed="false">
      <c r="A2" s="3" t="s">
        <v>89</v>
      </c>
    </row>
    <row r="4" customFormat="false" ht="15" hidden="false" customHeight="true" outlineLevel="0" collapsed="false">
      <c r="A4" s="26" t="s">
        <v>90</v>
      </c>
      <c r="B4" s="27"/>
      <c r="C4" s="27"/>
      <c r="D4" s="27"/>
    </row>
    <row r="5" customFormat="false" ht="15" hidden="false" customHeight="true" outlineLevel="0" collapsed="false">
      <c r="A5" s="28" t="s">
        <v>91</v>
      </c>
      <c r="B5" s="18" t="n">
        <v>46113</v>
      </c>
    </row>
    <row r="6" customFormat="false" ht="15" hidden="false" customHeight="true" outlineLevel="0" collapsed="false">
      <c r="A6" s="28" t="s">
        <v>92</v>
      </c>
      <c r="B6" s="18" t="n">
        <v>46477</v>
      </c>
    </row>
    <row r="7" customFormat="false" ht="15" hidden="false" customHeight="true" outlineLevel="0" collapsed="false">
      <c r="A7" s="28" t="s">
        <v>93</v>
      </c>
      <c r="B7" s="29" t="n">
        <v>0.3</v>
      </c>
      <c r="D7" s="3" t="s">
        <v>94</v>
      </c>
    </row>
    <row r="8" customFormat="false" ht="15" hidden="false" customHeight="true" outlineLevel="0" collapsed="false">
      <c r="A8" s="28" t="s">
        <v>95</v>
      </c>
      <c r="B8" s="19" t="n">
        <v>125000</v>
      </c>
    </row>
    <row r="9" customFormat="false" ht="15" hidden="false" customHeight="true" outlineLevel="0" collapsed="false">
      <c r="A9" s="28" t="s">
        <v>96</v>
      </c>
      <c r="B9" s="29" t="n">
        <v>0.04</v>
      </c>
      <c r="D9" s="3" t="s">
        <v>97</v>
      </c>
    </row>
    <row r="11" customFormat="false" ht="33.75" hidden="false" customHeight="true" outlineLevel="0" collapsed="false">
      <c r="A11" s="15" t="s">
        <v>98</v>
      </c>
      <c r="B11" s="16" t="s">
        <v>99</v>
      </c>
      <c r="C11" s="16" t="s">
        <v>100</v>
      </c>
      <c r="D11" s="16" t="s">
        <v>101</v>
      </c>
      <c r="E11" s="16" t="s">
        <v>102</v>
      </c>
      <c r="F11" s="16" t="s">
        <v>103</v>
      </c>
      <c r="G11" s="16" t="s">
        <v>104</v>
      </c>
      <c r="H11" s="16" t="s">
        <v>105</v>
      </c>
      <c r="I11" s="16" t="s">
        <v>106</v>
      </c>
      <c r="J11" s="16" t="s">
        <v>107</v>
      </c>
      <c r="K11" s="16" t="s">
        <v>108</v>
      </c>
      <c r="L11" s="16"/>
    </row>
    <row r="12" customFormat="false" ht="15" hidden="false" customHeight="true" outlineLevel="0" collapsed="false">
      <c r="A12" s="28" t="s">
        <v>109</v>
      </c>
      <c r="B12" s="20" t="n">
        <f aca="false">SUMIFS(Transactions!$Q$5:$Q$204,Transactions!$P$5:$P$204,$L12,Transactions!$Q$5:$Q$204,"&gt;0",Transactions!$D$5:$D$204,"&gt;="&amp;Summary!$B$5,Transactions!$D$5:$D$204,"&lt;="&amp;Summary!$B$6)</f>
        <v>60000</v>
      </c>
      <c r="C12" s="20" t="n">
        <f aca="false">SUMIFS(Transactions!$Q$5:$Q$204,Transactions!$P$5:$P$204,$L12,Transactions!$Q$5:$Q$204,"&lt;0",Transactions!$D$5:$D$204,"&gt;="&amp;Summary!$B$5,Transactions!$D$5:$D$204,"&lt;="&amp;Summary!$B$6)</f>
        <v>-120000</v>
      </c>
      <c r="D12" s="20" t="n">
        <f aca="false">B12+C12</f>
        <v>-60000</v>
      </c>
      <c r="E12" s="20" t="n">
        <f aca="false">0</f>
        <v>0</v>
      </c>
      <c r="F12" s="20" t="n">
        <f aca="false">MIN(MAX(0,D12)-E12,$B$19-SUM(F$11:F11))</f>
        <v>0</v>
      </c>
      <c r="G12" s="20" t="n">
        <f aca="false">MAX(0,D12)-E12-F12</f>
        <v>0</v>
      </c>
      <c r="H12" s="20" t="n">
        <f aca="false">0</f>
        <v>0</v>
      </c>
      <c r="I12" s="22" t="n">
        <f aca="false">G12-H12</f>
        <v>0</v>
      </c>
      <c r="J12" s="30" t="n">
        <f aca="false">Summary!$B$7</f>
        <v>0.3</v>
      </c>
      <c r="K12" s="22" t="n">
        <f aca="false">ROUND(I12*J12,0)</f>
        <v>0</v>
      </c>
      <c r="L12" s="3" t="s">
        <v>110</v>
      </c>
    </row>
    <row r="13" customFormat="false" ht="15" hidden="false" customHeight="true" outlineLevel="0" collapsed="false">
      <c r="A13" s="28" t="s">
        <v>111</v>
      </c>
      <c r="B13" s="20" t="n">
        <f aca="false">SUMIFS(Transactions!$Q$5:$Q$204,Transactions!$P$5:$P$204,$L13,Transactions!$Q$5:$Q$204,"&gt;0",Transactions!$D$5:$D$204,"&gt;="&amp;Summary!$B$5,Transactions!$D$5:$D$204,"&lt;="&amp;Summary!$B$6)</f>
        <v>30000</v>
      </c>
      <c r="C13" s="20" t="n">
        <f aca="false">SUMIFS(Transactions!$Q$5:$Q$204,Transactions!$P$5:$P$204,$L13,Transactions!$Q$5:$Q$204,"&lt;0",Transactions!$D$5:$D$204,"&gt;="&amp;Summary!$B$5,Transactions!$D$5:$D$204,"&lt;="&amp;Summary!$B$6)</f>
        <v>-20080</v>
      </c>
      <c r="D13" s="20" t="n">
        <f aca="false">B13+C13</f>
        <v>9920</v>
      </c>
      <c r="E13" s="20" t="n">
        <f aca="false">0</f>
        <v>0</v>
      </c>
      <c r="F13" s="20" t="n">
        <f aca="false">MIN(MAX(0,D13)-E13,$B$19-SUM(F$11:F12))</f>
        <v>9920</v>
      </c>
      <c r="G13" s="20" t="n">
        <f aca="false">MAX(0,D13)-E13-F13</f>
        <v>0</v>
      </c>
      <c r="H13" s="20" t="n">
        <f aca="false">0</f>
        <v>0</v>
      </c>
      <c r="I13" s="22" t="n">
        <f aca="false">G13-H13</f>
        <v>0</v>
      </c>
      <c r="J13" s="30" t="n">
        <f aca="false">0.2</f>
        <v>0.2</v>
      </c>
      <c r="K13" s="22" t="n">
        <f aca="false">ROUND(I13*J13,0)</f>
        <v>0</v>
      </c>
      <c r="L13" s="3" t="s">
        <v>112</v>
      </c>
    </row>
    <row r="14" customFormat="false" ht="15" hidden="false" customHeight="true" outlineLevel="0" collapsed="false">
      <c r="A14" s="28" t="s">
        <v>113</v>
      </c>
      <c r="B14" s="20" t="n">
        <f aca="false">SUMIFS(Transactions!$Q$5:$Q$204,Transactions!$P$5:$P$204,$L14,Transactions!$Q$5:$Q$204,"&gt;0",Transactions!$D$5:$D$204,"&gt;="&amp;Summary!$B$5,Transactions!$D$5:$D$204,"&lt;="&amp;Summary!$B$6)</f>
        <v>670000</v>
      </c>
      <c r="C14" s="20" t="n">
        <f aca="false">SUMIFS(Transactions!$Q$5:$Q$204,Transactions!$P$5:$P$204,$L14,Transactions!$Q$5:$Q$204,"&lt;0",Transactions!$D$5:$D$204,"&gt;="&amp;Summary!$B$5,Transactions!$D$5:$D$204,"&lt;="&amp;Summary!$B$6)</f>
        <v>0</v>
      </c>
      <c r="D14" s="20" t="n">
        <f aca="false">B14+C14</f>
        <v>670000</v>
      </c>
      <c r="E14" s="20" t="n">
        <f aca="false">MIN(MAX(0,D14),$B$20-SUM(E$12:E13))</f>
        <v>-0</v>
      </c>
      <c r="F14" s="20" t="n">
        <f aca="false">MIN(MAX(0,D14)-E14,$B$19-SUM(F$11:F13))</f>
        <v>50080</v>
      </c>
      <c r="G14" s="20" t="n">
        <f aca="false">MAX(0,D14)-E14-F14</f>
        <v>619920</v>
      </c>
      <c r="H14" s="20" t="n">
        <f aca="false">0</f>
        <v>0</v>
      </c>
      <c r="I14" s="22" t="n">
        <f aca="false">G14-H14</f>
        <v>619920</v>
      </c>
      <c r="J14" s="30" t="n">
        <f aca="false">0.2</f>
        <v>0.2</v>
      </c>
      <c r="K14" s="22" t="n">
        <f aca="false">ROUND(I14*J14,0)</f>
        <v>123984</v>
      </c>
      <c r="L14" s="3" t="s">
        <v>114</v>
      </c>
    </row>
    <row r="15" customFormat="false" ht="15" hidden="false" customHeight="true" outlineLevel="0" collapsed="false">
      <c r="A15" s="28" t="s">
        <v>115</v>
      </c>
      <c r="B15" s="20" t="n">
        <f aca="false">SUMIFS(Transactions!$Q$5:$Q$204,Transactions!$P$5:$P$204,$L15,Transactions!$Q$5:$Q$204,"&gt;0",Transactions!$D$5:$D$204,"&gt;="&amp;Summary!$B$5,Transactions!$D$5:$D$204,"&lt;="&amp;Summary!$B$6)</f>
        <v>215000</v>
      </c>
      <c r="C15" s="20" t="n">
        <f aca="false">SUMIFS(Transactions!$Q$5:$Q$204,Transactions!$P$5:$P$204,$L15,Transactions!$Q$5:$Q$204,"&lt;0",Transactions!$D$5:$D$204,"&gt;="&amp;Summary!$B$5,Transactions!$D$5:$D$204,"&lt;="&amp;Summary!$B$6)</f>
        <v>0</v>
      </c>
      <c r="D15" s="20" t="n">
        <f aca="false">B15+C15</f>
        <v>215000</v>
      </c>
      <c r="E15" s="20" t="n">
        <f aca="false">MIN(MAX(0,D15),$B$20-SUM(E$12:E14))</f>
        <v>-0</v>
      </c>
      <c r="F15" s="20" t="n">
        <f aca="false">MIN(MAX(0,D15)-E15,$B$19-SUM(F$11:F14))</f>
        <v>0</v>
      </c>
      <c r="G15" s="20" t="n">
        <f aca="false">MAX(0,D15)-E15-F15</f>
        <v>215000</v>
      </c>
      <c r="H15" s="20" t="n">
        <f aca="false">0</f>
        <v>0</v>
      </c>
      <c r="I15" s="22" t="n">
        <f aca="false">G15-H15</f>
        <v>215000</v>
      </c>
      <c r="J15" s="30" t="n">
        <f aca="false">0.125</f>
        <v>0.125</v>
      </c>
      <c r="K15" s="22" t="n">
        <f aca="false">ROUND(I15*J15,0)</f>
        <v>26875</v>
      </c>
      <c r="L15" s="3" t="s">
        <v>116</v>
      </c>
    </row>
    <row r="16" customFormat="false" ht="15" hidden="false" customHeight="true" outlineLevel="0" collapsed="false">
      <c r="A16" s="28" t="s">
        <v>117</v>
      </c>
      <c r="B16" s="20" t="n">
        <f aca="false">SUMIFS(Transactions!$Q$5:$Q$204,Transactions!$P$5:$P$204,$L16,Transactions!$Q$5:$Q$204,"&gt;0",Transactions!$D$5:$D$204,"&gt;="&amp;Summary!$B$5,Transactions!$D$5:$D$204,"&lt;="&amp;Summary!$B$6)</f>
        <v>49550</v>
      </c>
      <c r="C16" s="20" t="n">
        <f aca="false">SUMIFS(Transactions!$Q$5:$Q$204,Transactions!$P$5:$P$204,$L16,Transactions!$Q$5:$Q$204,"&lt;0",Transactions!$D$5:$D$204,"&gt;="&amp;Summary!$B$5,Transactions!$D$5:$D$204,"&lt;="&amp;Summary!$B$6)</f>
        <v>-35120</v>
      </c>
      <c r="D16" s="20" t="n">
        <f aca="false">B16+C16</f>
        <v>14430</v>
      </c>
      <c r="E16" s="20" t="n">
        <f aca="false">MIN(MAX(0,D16),$B$20-SUM(E$12:E15))</f>
        <v>-0</v>
      </c>
      <c r="F16" s="20" t="n">
        <f aca="false">MIN(MAX(0,D16)-E16,$B$19-SUM(F$11:F15))</f>
        <v>0</v>
      </c>
      <c r="G16" s="20" t="n">
        <f aca="false">MAX(0,D16)-E16-F16</f>
        <v>14430</v>
      </c>
      <c r="H16" s="20" t="n">
        <f aca="false">MIN(G16,Summary!$B$8)</f>
        <v>14430</v>
      </c>
      <c r="I16" s="22" t="n">
        <f aca="false">G16-H16</f>
        <v>0</v>
      </c>
      <c r="J16" s="30" t="n">
        <f aca="false">0.125</f>
        <v>0.125</v>
      </c>
      <c r="K16" s="22" t="n">
        <f aca="false">ROUND(I16*J16,0)</f>
        <v>0</v>
      </c>
      <c r="L16" s="3" t="s">
        <v>118</v>
      </c>
    </row>
    <row r="17" customFormat="false" ht="15" hidden="false" customHeight="true" outlineLevel="0" collapsed="false">
      <c r="A17" s="4" t="s">
        <v>119</v>
      </c>
      <c r="B17" s="31" t="n">
        <f aca="false">SUM(B12:B16)</f>
        <v>1024550</v>
      </c>
      <c r="C17" s="31" t="n">
        <f aca="false">SUM(C12:C16)</f>
        <v>-175200</v>
      </c>
      <c r="D17" s="31" t="n">
        <f aca="false">SUM(D12:D16)</f>
        <v>849350</v>
      </c>
      <c r="E17" s="31" t="n">
        <f aca="false">SUM(E12:E16)</f>
        <v>0</v>
      </c>
      <c r="F17" s="31" t="n">
        <f aca="false">SUM(F12:F16)</f>
        <v>60000</v>
      </c>
      <c r="G17" s="31" t="n">
        <f aca="false">SUM(G12:G16)</f>
        <v>849350</v>
      </c>
      <c r="H17" s="31" t="n">
        <f aca="false">SUM(H12:H16)</f>
        <v>14430</v>
      </c>
      <c r="I17" s="31" t="n">
        <f aca="false">SUM(I12:I16)</f>
        <v>834920</v>
      </c>
      <c r="K17" s="31" t="n">
        <f aca="false">SUM(K12:K16)</f>
        <v>150859</v>
      </c>
    </row>
    <row r="19" customFormat="false" ht="15" hidden="false" customHeight="true" outlineLevel="0" collapsed="false">
      <c r="A19" s="28" t="s">
        <v>120</v>
      </c>
      <c r="B19" s="20" t="n">
        <f aca="false">-(MIN(0,D12)+MIN(0,D13))</f>
        <v>60000</v>
      </c>
    </row>
    <row r="20" customFormat="false" ht="15" hidden="false" customHeight="true" outlineLevel="0" collapsed="false">
      <c r="A20" s="28" t="s">
        <v>121</v>
      </c>
      <c r="B20" s="20" t="n">
        <f aca="false">-(MIN(0,D14)+MIN(0,D15)+MIN(0,D16))</f>
        <v>-0</v>
      </c>
    </row>
    <row r="22" customFormat="false" ht="15" hidden="false" customHeight="true" outlineLevel="0" collapsed="false">
      <c r="A22" s="26" t="s">
        <v>122</v>
      </c>
      <c r="B22" s="27"/>
      <c r="C22" s="27"/>
      <c r="D22" s="27"/>
    </row>
    <row r="23" customFormat="false" ht="15" hidden="false" customHeight="true" outlineLevel="0" collapsed="false">
      <c r="A23" s="28" t="s">
        <v>123</v>
      </c>
      <c r="B23" s="20" t="n">
        <f aca="false">SUM(K13:K16)</f>
        <v>150859</v>
      </c>
    </row>
    <row r="24" customFormat="false" ht="15" hidden="false" customHeight="true" outlineLevel="0" collapsed="false">
      <c r="A24" s="28" t="s">
        <v>124</v>
      </c>
      <c r="B24" s="20" t="n">
        <f aca="false">K12</f>
        <v>0</v>
      </c>
    </row>
    <row r="25" customFormat="false" ht="15" hidden="false" customHeight="true" outlineLevel="0" collapsed="false">
      <c r="A25" s="28" t="s">
        <v>125</v>
      </c>
      <c r="B25" s="20" t="n">
        <f aca="false">ROUND((B23+B24)*Summary!$B$9,0)</f>
        <v>6034</v>
      </c>
    </row>
    <row r="26" customFormat="false" ht="15" hidden="false" customHeight="true" outlineLevel="0" collapsed="false">
      <c r="A26" s="4" t="s">
        <v>126</v>
      </c>
      <c r="B26" s="31" t="n">
        <f aca="false">B23+B24+B25</f>
        <v>156893</v>
      </c>
    </row>
    <row r="28" customFormat="false" ht="15" hidden="false" customHeight="true" outlineLevel="0" collapsed="false">
      <c r="A28" s="26" t="s">
        <v>127</v>
      </c>
      <c r="B28" s="27"/>
      <c r="C28" s="27"/>
      <c r="D28" s="27"/>
    </row>
    <row r="29" customFormat="false" ht="15" hidden="false" customHeight="true" outlineLevel="0" collapsed="false">
      <c r="A29" s="28" t="s">
        <v>128</v>
      </c>
      <c r="B29" s="22" t="n">
        <f aca="false">MAX(0,$B$19-F17)</f>
        <v>0</v>
      </c>
    </row>
    <row r="30" customFormat="false" ht="15" hidden="false" customHeight="true" outlineLevel="0" collapsed="false">
      <c r="A30" s="28" t="s">
        <v>129</v>
      </c>
      <c r="B30" s="22" t="n">
        <f aca="false">MAX(0,$B$20-E17)</f>
        <v>-0</v>
      </c>
    </row>
    <row r="32" customFormat="false" ht="15" hidden="false" customHeight="true" outlineLevel="0" collapsed="false">
      <c r="A32" s="26" t="s">
        <v>130</v>
      </c>
      <c r="B32" s="27"/>
      <c r="C32" s="27"/>
      <c r="D32" s="27"/>
    </row>
    <row r="33" customFormat="false" ht="15" hidden="false" customHeight="true" outlineLevel="0" collapsed="false">
      <c r="A33" s="28" t="s">
        <v>131</v>
      </c>
      <c r="B33" s="20" t="n">
        <f aca="false">COUNTA(Transactions!$A$5:$A$204)</f>
        <v>10</v>
      </c>
    </row>
    <row r="34" customFormat="false" ht="15" hidden="false" customHeight="true" outlineLevel="0" collapsed="false">
      <c r="A34" s="28" t="s">
        <v>132</v>
      </c>
      <c r="B34" s="20" t="n">
        <f aca="false">SUMPRODUCT((Transactions!$A$5:$A$204&lt;&gt;"")*(Transactions!$K$5:$K$204=""))</f>
        <v>0</v>
      </c>
    </row>
    <row r="35" customFormat="false" ht="15" hidden="false" customHeight="true" outlineLevel="0" collapsed="false">
      <c r="A35" s="28" t="s">
        <v>133</v>
      </c>
      <c r="B35" s="20" t="n">
        <f aca="false">SUMPRODUCT((Transactions!$K$5:$K$204&lt;&gt;"")*((Transactions!$D$5:$D$204&lt;Summary!$B$5)+(Transactions!$D$5:$D$204&gt;Summary!$B$6)&gt;0))</f>
        <v>0</v>
      </c>
    </row>
    <row r="36" customFormat="false" ht="15" hidden="false" customHeight="true" outlineLevel="0" collapsed="false">
      <c r="A36" s="4" t="s">
        <v>4</v>
      </c>
      <c r="B36" s="21" t="str">
        <f aca="false">IF(B34+B35=0,"OK","CHECK")</f>
        <v>OK</v>
      </c>
    </row>
    <row r="38" customFormat="false" ht="15" hidden="false" customHeight="true" outlineLevel="0" collapsed="false">
      <c r="A38" s="3" t="s">
        <v>134</v>
      </c>
    </row>
    <row r="39" customFormat="false" ht="15" hidden="false" customHeight="true" outlineLevel="0" collapsed="false">
      <c r="A39" s="3" t="s">
        <v>135</v>
      </c>
    </row>
  </sheetData>
  <conditionalFormatting sqref="B36">
    <cfRule type="cellIs" priority="2" operator="equal" aboveAverage="0" equalAverage="0" bottom="0" percent="0" rank="0" text="" dxfId="7">
      <formula>"OK"</formula>
    </cfRule>
    <cfRule type="cellIs" priority="3" operator="equal" aboveAverage="0" equalAverage="0" bottom="0" percent="0" rank="0" text="" dxfId="8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3" min="2" style="1" width="10"/>
    <col collapsed="false" customWidth="true" hidden="false" outlineLevel="0" max="4" min="4" style="1" width="3"/>
    <col collapsed="false" customWidth="true" hidden="false" outlineLevel="0" max="5" min="5" style="1" width="38"/>
  </cols>
  <sheetData>
    <row r="1" customFormat="false" ht="21.75" hidden="false" customHeight="true" outlineLevel="0" collapsed="false">
      <c r="A1" s="13" t="s">
        <v>136</v>
      </c>
      <c r="E1" s="14" t="s">
        <v>51</v>
      </c>
    </row>
    <row r="2" customFormat="false" ht="15" hidden="false" customHeight="true" outlineLevel="0" collapsed="false">
      <c r="A2" s="3" t="s">
        <v>137</v>
      </c>
    </row>
    <row r="4" customFormat="false" ht="21.75" hidden="false" customHeight="true" outlineLevel="0" collapsed="false">
      <c r="A4" s="15" t="s">
        <v>138</v>
      </c>
      <c r="B4" s="16" t="s">
        <v>139</v>
      </c>
      <c r="C4" s="16" t="s">
        <v>140</v>
      </c>
      <c r="D4" s="16"/>
      <c r="E4" s="16" t="s">
        <v>141</v>
      </c>
    </row>
    <row r="5" customFormat="false" ht="15" hidden="false" customHeight="true" outlineLevel="0" collapsed="false">
      <c r="A5" s="28" t="s">
        <v>142</v>
      </c>
      <c r="B5" s="28" t="n">
        <v>2001</v>
      </c>
      <c r="C5" s="19" t="n">
        <v>100</v>
      </c>
      <c r="E5" s="28" t="s">
        <v>71</v>
      </c>
    </row>
    <row r="6" customFormat="false" ht="15" hidden="false" customHeight="true" outlineLevel="0" collapsed="false">
      <c r="A6" s="28" t="s">
        <v>143</v>
      </c>
      <c r="B6" s="28" t="n">
        <v>2002</v>
      </c>
      <c r="C6" s="19" t="n">
        <v>105</v>
      </c>
      <c r="E6" s="28" t="s">
        <v>86</v>
      </c>
    </row>
    <row r="7" customFormat="false" ht="15" hidden="false" customHeight="true" outlineLevel="0" collapsed="false">
      <c r="A7" s="28" t="s">
        <v>144</v>
      </c>
      <c r="B7" s="28" t="n">
        <v>2003</v>
      </c>
      <c r="C7" s="19" t="n">
        <v>109</v>
      </c>
      <c r="E7" s="28" t="s">
        <v>76</v>
      </c>
    </row>
    <row r="8" customFormat="false" ht="15" hidden="false" customHeight="true" outlineLevel="0" collapsed="false">
      <c r="A8" s="28" t="s">
        <v>145</v>
      </c>
      <c r="B8" s="28" t="n">
        <v>2004</v>
      </c>
      <c r="C8" s="19" t="n">
        <v>113</v>
      </c>
      <c r="E8" s="28" t="s">
        <v>84</v>
      </c>
    </row>
    <row r="9" customFormat="false" ht="15" hidden="false" customHeight="true" outlineLevel="0" collapsed="false">
      <c r="A9" s="28" t="s">
        <v>146</v>
      </c>
      <c r="B9" s="28" t="n">
        <v>2005</v>
      </c>
      <c r="C9" s="19" t="n">
        <v>117</v>
      </c>
      <c r="E9" s="28" t="s">
        <v>78</v>
      </c>
    </row>
    <row r="10" customFormat="false" ht="15" hidden="false" customHeight="true" outlineLevel="0" collapsed="false">
      <c r="A10" s="28" t="s">
        <v>147</v>
      </c>
      <c r="B10" s="28" t="n">
        <v>2006</v>
      </c>
      <c r="C10" s="19" t="n">
        <v>122</v>
      </c>
      <c r="E10" s="28" t="s">
        <v>80</v>
      </c>
    </row>
    <row r="11" customFormat="false" ht="15" hidden="false" customHeight="true" outlineLevel="0" collapsed="false">
      <c r="A11" s="28" t="s">
        <v>148</v>
      </c>
      <c r="B11" s="28" t="n">
        <v>2007</v>
      </c>
      <c r="C11" s="19" t="n">
        <v>129</v>
      </c>
      <c r="E11" s="28" t="s">
        <v>82</v>
      </c>
    </row>
    <row r="12" customFormat="false" ht="15" hidden="false" customHeight="true" outlineLevel="0" collapsed="false">
      <c r="A12" s="28" t="s">
        <v>149</v>
      </c>
      <c r="B12" s="28" t="n">
        <v>2008</v>
      </c>
      <c r="C12" s="19" t="n">
        <v>137</v>
      </c>
    </row>
    <row r="13" customFormat="false" ht="15" hidden="false" customHeight="true" outlineLevel="0" collapsed="false">
      <c r="A13" s="28" t="s">
        <v>150</v>
      </c>
      <c r="B13" s="28" t="n">
        <v>2009</v>
      </c>
      <c r="C13" s="19" t="n">
        <v>148</v>
      </c>
    </row>
    <row r="14" customFormat="false" ht="15" hidden="false" customHeight="true" outlineLevel="0" collapsed="false">
      <c r="A14" s="28" t="s">
        <v>151</v>
      </c>
      <c r="B14" s="28" t="n">
        <v>2010</v>
      </c>
      <c r="C14" s="19" t="n">
        <v>167</v>
      </c>
    </row>
    <row r="15" customFormat="false" ht="15" hidden="false" customHeight="true" outlineLevel="0" collapsed="false">
      <c r="A15" s="28" t="s">
        <v>152</v>
      </c>
      <c r="B15" s="28" t="n">
        <v>2011</v>
      </c>
      <c r="C15" s="19" t="n">
        <v>184</v>
      </c>
    </row>
    <row r="16" customFormat="false" ht="15" hidden="false" customHeight="true" outlineLevel="0" collapsed="false">
      <c r="A16" s="28" t="s">
        <v>153</v>
      </c>
      <c r="B16" s="28" t="n">
        <v>2012</v>
      </c>
      <c r="C16" s="19" t="n">
        <v>200</v>
      </c>
    </row>
    <row r="17" customFormat="false" ht="15" hidden="false" customHeight="true" outlineLevel="0" collapsed="false">
      <c r="A17" s="28" t="s">
        <v>154</v>
      </c>
      <c r="B17" s="28" t="n">
        <v>2013</v>
      </c>
      <c r="C17" s="19" t="n">
        <v>220</v>
      </c>
    </row>
    <row r="18" customFormat="false" ht="15" hidden="false" customHeight="true" outlineLevel="0" collapsed="false">
      <c r="A18" s="28" t="s">
        <v>155</v>
      </c>
      <c r="B18" s="28" t="n">
        <v>2014</v>
      </c>
      <c r="C18" s="19" t="n">
        <v>240</v>
      </c>
    </row>
    <row r="19" customFormat="false" ht="15" hidden="false" customHeight="true" outlineLevel="0" collapsed="false">
      <c r="A19" s="28" t="s">
        <v>156</v>
      </c>
      <c r="B19" s="28" t="n">
        <v>2015</v>
      </c>
      <c r="C19" s="19" t="n">
        <v>254</v>
      </c>
    </row>
    <row r="20" customFormat="false" ht="15" hidden="false" customHeight="true" outlineLevel="0" collapsed="false">
      <c r="A20" s="28" t="s">
        <v>157</v>
      </c>
      <c r="B20" s="28" t="n">
        <v>2016</v>
      </c>
      <c r="C20" s="19" t="n">
        <v>264</v>
      </c>
    </row>
    <row r="21" customFormat="false" ht="15" hidden="false" customHeight="true" outlineLevel="0" collapsed="false">
      <c r="A21" s="28" t="s">
        <v>158</v>
      </c>
      <c r="B21" s="28" t="n">
        <v>2017</v>
      </c>
      <c r="C21" s="19" t="n">
        <v>272</v>
      </c>
    </row>
    <row r="22" customFormat="false" ht="15" hidden="false" customHeight="true" outlineLevel="0" collapsed="false">
      <c r="A22" s="28" t="s">
        <v>159</v>
      </c>
      <c r="B22" s="28" t="n">
        <v>2018</v>
      </c>
      <c r="C22" s="19" t="n">
        <v>280</v>
      </c>
    </row>
    <row r="23" customFormat="false" ht="15" hidden="false" customHeight="true" outlineLevel="0" collapsed="false">
      <c r="A23" s="28" t="s">
        <v>160</v>
      </c>
      <c r="B23" s="28" t="n">
        <v>2019</v>
      </c>
      <c r="C23" s="19" t="n">
        <v>289</v>
      </c>
    </row>
    <row r="24" customFormat="false" ht="15" hidden="false" customHeight="true" outlineLevel="0" collapsed="false">
      <c r="A24" s="28" t="s">
        <v>161</v>
      </c>
      <c r="B24" s="28" t="n">
        <v>2020</v>
      </c>
      <c r="C24" s="19" t="n">
        <v>301</v>
      </c>
    </row>
    <row r="25" customFormat="false" ht="15" hidden="false" customHeight="true" outlineLevel="0" collapsed="false">
      <c r="A25" s="28" t="s">
        <v>162</v>
      </c>
      <c r="B25" s="28" t="n">
        <v>2021</v>
      </c>
      <c r="C25" s="19" t="n">
        <v>317</v>
      </c>
    </row>
    <row r="26" customFormat="false" ht="15" hidden="false" customHeight="true" outlineLevel="0" collapsed="false">
      <c r="A26" s="28" t="s">
        <v>163</v>
      </c>
      <c r="B26" s="28" t="n">
        <v>2022</v>
      </c>
      <c r="C26" s="19" t="n">
        <v>331</v>
      </c>
    </row>
    <row r="27" customFormat="false" ht="15" hidden="false" customHeight="true" outlineLevel="0" collapsed="false">
      <c r="A27" s="28" t="s">
        <v>164</v>
      </c>
      <c r="B27" s="28" t="n">
        <v>2023</v>
      </c>
      <c r="C27" s="19" t="n">
        <v>348</v>
      </c>
    </row>
    <row r="28" customFormat="false" ht="15" hidden="false" customHeight="true" outlineLevel="0" collapsed="false">
      <c r="A28" s="28" t="s">
        <v>165</v>
      </c>
      <c r="B28" s="28" t="n">
        <v>2024</v>
      </c>
      <c r="C28" s="19" t="n">
        <v>363</v>
      </c>
    </row>
    <row r="29" customFormat="false" ht="15" hidden="false" customHeight="true" outlineLevel="0" collapsed="false">
      <c r="A29" s="28" t="s">
        <v>166</v>
      </c>
      <c r="B29" s="28" t="n">
        <v>2025</v>
      </c>
      <c r="C29" s="19" t="n">
        <v>376</v>
      </c>
    </row>
    <row r="30" customFormat="false" ht="15" hidden="false" customHeight="true" outlineLevel="0" collapsed="false">
      <c r="A30" s="28" t="s">
        <v>167</v>
      </c>
      <c r="B30" s="28" t="n">
        <v>2026</v>
      </c>
      <c r="C30" s="19" t="n">
        <v>384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2" t="s">
        <v>168</v>
      </c>
    </row>
    <row r="4" customFormat="false" ht="15" hidden="false" customHeight="false" outlineLevel="0" collapsed="false">
      <c r="B4" s="33" t="s">
        <v>169</v>
      </c>
    </row>
    <row r="5" customFormat="false" ht="23.85" hidden="false" customHeight="false" outlineLevel="0" collapsed="false">
      <c r="B5" s="34" t="s">
        <v>170</v>
      </c>
    </row>
    <row r="6" customFormat="false" ht="15" hidden="false" customHeight="false" outlineLevel="0" collapsed="false">
      <c r="B6" s="34" t="s">
        <v>171</v>
      </c>
    </row>
    <row r="7" customFormat="false" ht="15" hidden="false" customHeight="false" outlineLevel="0" collapsed="false">
      <c r="B7" s="34" t="s">
        <v>172</v>
      </c>
    </row>
    <row r="9" customFormat="false" ht="15" hidden="false" customHeight="false" outlineLevel="0" collapsed="false">
      <c r="B9" s="33" t="s">
        <v>173</v>
      </c>
    </row>
    <row r="10" customFormat="false" ht="15" hidden="false" customHeight="false" outlineLevel="0" collapsed="false">
      <c r="B10" s="35" t="s">
        <v>174</v>
      </c>
    </row>
    <row r="12" customFormat="false" ht="15" hidden="false" customHeight="false" outlineLevel="0" collapsed="false">
      <c r="B12" s="36" t="s">
        <v>175</v>
      </c>
    </row>
  </sheetData>
  <hyperlinks>
    <hyperlink ref="B10" r:id="rId1" display="Get it at https://pblab.in/templates/capital-gains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2026-10-13T16:42:41Z</dcterms:created>
  <dc:creator>PB Lab</dc:creator>
  <dc:description/>
  <cp:keywords>PB Lab pblab.in Excel template India</cp:keywords>
  <dc:language>en-US</dc:language>
  <cp:lastModifiedBy/>
  <dcterms:modified xsi:type="dcterms:W3CDTF">2026-10-13T16:42:44Z</dcterms:modified>
  <cp:revision>0</cp:revision>
  <dc:subject>Work out short-term and long-term capital gains for tax year 2026-27: holding period, grandfathering for shares bought before 1 February 2018, indexation for property bought before 23 July 2024, set-off of losses, the ₹1.25 lakh exemption and tax at special rates.</dc:subject>
  <dc:title>Capital Gains Calculator 2026-27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