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Inputs" sheetId="2" state="visible" r:id="rId4"/>
    <sheet name="Settlement" sheetId="3" state="visible" r:id="rId5"/>
    <sheet name="Get Pro"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<sst xmlns="http://schemas.openxmlformats.org/spreadsheetml/2006/main" count="170" uniqueCount="162">
  <si>
    <t xml:space="preserve">Full &amp; Final Settlement Calculator</t>
  </si>
  <si>
    <t xml:space="preserve">Full and final settlement for an employee who leaves: salary for the last month, notice pay, leave encashment, bonus, gratuity, recoveries, PF/ESI/PT/TDS and the net amount – with the two-working-day payment deadline under the Code on Wages.</t>
  </si>
  <si>
    <t xml:space="preserve">Edition</t>
  </si>
  <si>
    <t xml:space="preserve">FREE EDITION – Pro sheets listed below are available in the Pro edition</t>
  </si>
  <si>
    <t xml:space="preserve">Status</t>
  </si>
  <si>
    <t xml:space="preserve">What this template does</t>
  </si>
  <si>
    <t xml:space="preserve">Works out the full and final settlement for an employee who leaves: salary for the last month, notice pay (payable or recoverable), leave encashment, bonus, gratuity and reimbursements, less PF, ESI, professional tax, TDS and recoveries such as advances or unreturned assets. It shows the net amount and the payment deadlines – two working days for wages under the Code on Wages, 2019 and 30 days for gratuity.</t>
  </si>
  <si>
    <t xml:space="preserve">How to use</t>
  </si>
  <si>
    <t xml:space="preserve">1. Inputs</t>
  </si>
  <si>
    <t xml:space="preserve">Enter the employee, dates, reason for leaving, monthly pay, notice terms, leave balance, bonus, reimbursements, statutory deductions and recoveries.</t>
  </si>
  <si>
    <t xml:space="preserve">2. Settlement</t>
  </si>
  <si>
    <t xml:space="preserve">Check the working (notice shortfall, service and gratuity eligibility) and the earnings, deductions and net amount.</t>
  </si>
  <si>
    <t xml:space="preserve">3. Pay on time</t>
  </si>
  <si>
    <t xml:space="preserve">Pay the settlement by the date shown and gratuity within 30 days.</t>
  </si>
  <si>
    <t xml:space="preserve">Colour legend</t>
  </si>
  <si>
    <t xml:space="preserve">Blue text, yellow fill</t>
  </si>
  <si>
    <t xml:space="preserve">Input – type or paste here</t>
  </si>
  <si>
    <t xml:space="preserve">Black text</t>
  </si>
  <si>
    <t xml:space="preserve">Formula – do not overwrite</t>
  </si>
  <si>
    <t xml:space="preserve">Green text</t>
  </si>
  <si>
    <t xml:space="preserve">Formula linked from another sheet</t>
  </si>
  <si>
    <t xml:space="preserve">Orange tab</t>
  </si>
  <si>
    <t xml:space="preserve">Pro sheet</t>
  </si>
  <si>
    <t xml:space="preserve">Notes</t>
  </si>
  <si>
    <t xml:space="preserve">Two working days</t>
  </si>
  <si>
    <t xml:space="preserve">From 21 November 2025 the Code on Wages, 2019 (s.17(2)) requires wages of an employee who resigns, is removed, dismissed or retrenched to be paid within two working days. The due date uses WORKDAY and skips weekends only – adjust for holidays.</t>
  </si>
  <si>
    <t xml:space="preserve">Leave encashment</t>
  </si>
  <si>
    <t xml:space="preserve">Earned leave balance × Basic + DA ÷ 30 (or 26, per your policy). Under the labour codes, leave encashment is not counted as an allowance for the 50% wage test.</t>
  </si>
  <si>
    <t xml:space="preserve">Gratuity</t>
  </si>
  <si>
    <t xml:space="preserve">15/26 × last drawn Basic + DA × years counted (part-year over six months counts), up to ₹20 lakh; 5 years' service or 1 year for fixed-term employees. See the Gratuity Calculator template for more detail.</t>
  </si>
  <si>
    <t xml:space="preserve">Tax</t>
  </si>
  <si>
    <t xml:space="preserve">Gratuity and leave encashment are partly exempt for private-sector employees; enter the TDS from your tax working.</t>
  </si>
  <si>
    <t xml:space="preserve">Assumptions in the sample data</t>
  </si>
  <si>
    <t xml:space="preserve">An accounts executive who resigned on 15 September 2026 with 60 days' notice and left on 31 October 2026 (47 days served), with 18 days of earned leave and 5 years 6 months of service.</t>
  </si>
  <si>
    <t xml:space="preserve">Pro edition includes</t>
  </si>
  <si>
    <t xml:space="preserve">✔</t>
  </si>
  <si>
    <t xml:space="preserve">F&amp;F Statement – print-ready settlement statement with earnings, deductions, net amount, payment due dates and signature lines for HR, approver and employee</t>
  </si>
  <si>
    <t xml:space="preserve">Exit Checklist – 15 ready steps from resignation to Form 130, with owners, target dates worked out from the last working day and a completion %</t>
  </si>
  <si>
    <t xml:space="preserve">Free updates and priority email support</t>
  </si>
  <si>
    <t xml:space="preserve">Support</t>
  </si>
  <si>
    <t xml:space="preserve">Email</t>
  </si>
  <si>
    <t xml:space="preserve">support@pblab.in</t>
  </si>
  <si>
    <t xml:space="preserve">Contact</t>
  </si>
  <si>
    <t xml:space="preserve">https://pblab.in/contact</t>
  </si>
  <si>
    <t xml:space="preserve">More templates</t>
  </si>
  <si>
    <t xml:space="preserve">https://pblab.in/templates</t>
  </si>
  <si>
    <t xml:space="preserve">Licence</t>
  </si>
  <si>
    <t xml:space="preserve">For use in your own business or practice, including client work. Please don't resell, share or upload the file.</t>
  </si>
  <si>
    <t xml:space="preserve">Disclaimer</t>
  </si>
  <si>
    <t xml:space="preserve">Formats are provided as a working aid. Verify rates, thresholds and presentation against the current law, ICAI guidance and your auditor's requirements before filing or publishing.</t>
  </si>
  <si>
    <t xml:space="preserve">Inputs – employee, exit details and amounts</t>
  </si>
  <si>
    <t xml:space="preserve">PB Lab · pblab.in/templates</t>
  </si>
  <si>
    <t xml:space="preserve">Blue cells are inputs. Monthly amounts are the full-month rates.</t>
  </si>
  <si>
    <t xml:space="preserve">Employee and exit</t>
  </si>
  <si>
    <t xml:space="preserve">Employee name</t>
  </si>
  <si>
    <t xml:space="preserve">Kavita Sahu</t>
  </si>
  <si>
    <t xml:space="preserve">Employee ID</t>
  </si>
  <si>
    <t xml:space="preserve">E002</t>
  </si>
  <si>
    <t xml:space="preserve">Designation</t>
  </si>
  <si>
    <t xml:space="preserve">Accounts Executive</t>
  </si>
  <si>
    <t xml:space="preserve">Company</t>
  </si>
  <si>
    <t xml:space="preserve">Raipur Precision Components Pvt Ltd</t>
  </si>
  <si>
    <t xml:space="preserve">Date of joining</t>
  </si>
  <si>
    <t xml:space="preserve">Date of resignation / notice</t>
  </si>
  <si>
    <t xml:space="preserve">Last working day</t>
  </si>
  <si>
    <t xml:space="preserve">Reason for leaving</t>
  </si>
  <si>
    <t xml:space="preserve">Resignation</t>
  </si>
  <si>
    <t xml:space="preserve">Employment type</t>
  </si>
  <si>
    <t xml:space="preserve">Permanent</t>
  </si>
  <si>
    <t xml:space="preserve">Monthly pay (full-month rates)</t>
  </si>
  <si>
    <t xml:space="preserve">Basic + DA</t>
  </si>
  <si>
    <t xml:space="preserve">Wages for PF, gratuity and leave encashment.</t>
  </si>
  <si>
    <t xml:space="preserve">HRA</t>
  </si>
  <si>
    <t xml:space="preserve">Other allowances</t>
  </si>
  <si>
    <t xml:space="preserve">Days payable in the last month</t>
  </si>
  <si>
    <t xml:space="preserve">Days worked plus paid leave/offs up to the last working day, less any loss of pay.</t>
  </si>
  <si>
    <t xml:space="preserve">Notice period</t>
  </si>
  <si>
    <t xml:space="preserve">Notice period required (days)</t>
  </si>
  <si>
    <t xml:space="preserve">As per the appointment letter.</t>
  </si>
  <si>
    <t xml:space="preserve">Shortfall waived by the company? (Y/N)</t>
  </si>
  <si>
    <t xml:space="preserve">N</t>
  </si>
  <si>
    <t xml:space="preserve">Notice pay worked out on</t>
  </si>
  <si>
    <t xml:space="preserve">Gross</t>
  </si>
  <si>
    <t xml:space="preserve">Notice pay payable TO the employee (days)</t>
  </si>
  <si>
    <t xml:space="preserve">When the employer ends employment without serving notice.</t>
  </si>
  <si>
    <t xml:space="preserve">Leave, bonus and other earnings</t>
  </si>
  <si>
    <t xml:space="preserve">Earned leave balance (days)</t>
  </si>
  <si>
    <t xml:space="preserve">From the leave register.</t>
  </si>
  <si>
    <t xml:space="preserve">Leave encashment divisor (days)</t>
  </si>
  <si>
    <t xml:space="preserve">30 (calendar) or 26 (working days) – follow your policy.</t>
  </si>
  <si>
    <t xml:space="preserve">Bonus payable (pro-rata, statutory or contractual)</t>
  </si>
  <si>
    <t xml:space="preserve">Reimbursements due (approved claims)</t>
  </si>
  <si>
    <t xml:space="preserve">Other earnings (incentive, arrears)</t>
  </si>
  <si>
    <t xml:space="preserve">Statutory deductions on the final pay</t>
  </si>
  <si>
    <t xml:space="preserve">PF applicable? (Y/N)</t>
  </si>
  <si>
    <t xml:space="preserve">Y</t>
  </si>
  <si>
    <t xml:space="preserve">ESI applicable? (Y/N)</t>
  </si>
  <si>
    <t xml:space="preserve">Professional tax for the last month (₹)</t>
  </si>
  <si>
    <t xml:space="preserve">TDS on the final settlement (₹)</t>
  </si>
  <si>
    <t xml:space="preserve">Work out with the Salary TDS Calculator template; leave encashment and gratuity are partly exempt.</t>
  </si>
  <si>
    <t xml:space="preserve">Recoveries</t>
  </si>
  <si>
    <t xml:space="preserve">Salary advance / loan outstanding</t>
  </si>
  <si>
    <t xml:space="preserve">Assets not returned / damages</t>
  </si>
  <si>
    <t xml:space="preserve">Other recoveries</t>
  </si>
  <si>
    <t xml:space="preserve">Rates</t>
  </si>
  <si>
    <t xml:space="preserve">PF wage ceiling (₹)</t>
  </si>
  <si>
    <t xml:space="preserve">PF on wages up to this amount.</t>
  </si>
  <si>
    <t xml:space="preserve">Employee PF rate</t>
  </si>
  <si>
    <t xml:space="preserve">Employee ESI rate</t>
  </si>
  <si>
    <t xml:space="preserve">Gratuity ceiling (₹)</t>
  </si>
  <si>
    <t xml:space="preserve">Full and final settlement</t>
  </si>
  <si>
    <t xml:space="preserve">Working</t>
  </si>
  <si>
    <t xml:space="preserve">Days in the last month</t>
  </si>
  <si>
    <t xml:space="preserve">Monthly gross</t>
  </si>
  <si>
    <t xml:space="preserve">Notice served (days)</t>
  </si>
  <si>
    <t xml:space="preserve">Notice shortfall (days)</t>
  </si>
  <si>
    <t xml:space="preserve">Recovered only when the employee resigns and doesn't serve the full notice.</t>
  </si>
  <si>
    <t xml:space="preserve">Service – completed years</t>
  </si>
  <si>
    <t xml:space="preserve">Service – extra months</t>
  </si>
  <si>
    <t xml:space="preserve">Service – extra days</t>
  </si>
  <si>
    <t xml:space="preserve">Service in years (exact)</t>
  </si>
  <si>
    <t xml:space="preserve">Years counted for gratuity</t>
  </si>
  <si>
    <t xml:space="preserve">Eligible for gratuity?</t>
  </si>
  <si>
    <t xml:space="preserve">5 years' service (1 year for fixed-term employees); not needed on death or disablement.</t>
  </si>
  <si>
    <t xml:space="preserve">Basic + DA earned in the last month</t>
  </si>
  <si>
    <t xml:space="preserve">A. Earnings</t>
  </si>
  <si>
    <t xml:space="preserve">Salary for the last month</t>
  </si>
  <si>
    <t xml:space="preserve">Monthly gross × days payable ÷ days in the month.</t>
  </si>
  <si>
    <t xml:space="preserve">Notice pay payable to the employee</t>
  </si>
  <si>
    <t xml:space="preserve">Earned leave balance × Basic + DA ÷ divisor.</t>
  </si>
  <si>
    <t xml:space="preserve">Bonus</t>
  </si>
  <si>
    <t xml:space="preserve">15/26 × last drawn Basic + DA × years counted. Payable within 30 days.</t>
  </si>
  <si>
    <t xml:space="preserve">Reimbursements</t>
  </si>
  <si>
    <t xml:space="preserve">Other earnings</t>
  </si>
  <si>
    <t xml:space="preserve">Total earnings (A)</t>
  </si>
  <si>
    <t xml:space="preserve">B. Deductions and recoveries</t>
  </si>
  <si>
    <t xml:space="preserve">Employee PF on the last month's pay</t>
  </si>
  <si>
    <t xml:space="preserve">PF is not deducted on leave encashment, gratuity or notice pay.</t>
  </si>
  <si>
    <t xml:space="preserve">Employee ESI</t>
  </si>
  <si>
    <t xml:space="preserve">Professional tax</t>
  </si>
  <si>
    <t xml:space="preserve">TDS</t>
  </si>
  <si>
    <t xml:space="preserve">Notice pay recovery</t>
  </si>
  <si>
    <t xml:space="preserve">Advance / loan recovery</t>
  </si>
  <si>
    <t xml:space="preserve">Total deductions (B)</t>
  </si>
  <si>
    <t xml:space="preserve">Net amount payable (A − B)</t>
  </si>
  <si>
    <t xml:space="preserve">If negative, the employee owes this amount to the company.</t>
  </si>
  <si>
    <t xml:space="preserve">Payment deadlines</t>
  </si>
  <si>
    <t xml:space="preserve">Wages and dues – pay by</t>
  </si>
  <si>
    <t xml:space="preserve">Code on Wages, 2019 s.17(2): within two working days of leaving (weekends excluded; check holidays).</t>
  </si>
  <si>
    <t xml:space="preserve">Gratuity – pay by</t>
  </si>
  <si>
    <t xml:space="preserve">Within 30 days of becoming payable.</t>
  </si>
  <si>
    <t xml:space="preserve">Checks</t>
  </si>
  <si>
    <t xml:space="preserve">Last working day is after joining and resignation dates</t>
  </si>
  <si>
    <t xml:space="preserve">Days payable not more than days in the month</t>
  </si>
  <si>
    <t xml:space="preserve">Upgrade to Full &amp; Final Settlement Calculator – Pro</t>
  </si>
  <si>
    <t xml:space="preserve">The Pro edition adds:</t>
  </si>
  <si>
    <t xml:space="preserve">✔  F&amp;F Statement – print-ready settlement statement with earnings, deductions, net amount, payment due dates and signature lines for HR, approver and employee</t>
  </si>
  <si>
    <t xml:space="preserve">✔  Exit Checklist – 15 ready steps from resignation to Form 130, with owners, target dates worked out from the last working day and a completion %</t>
  </si>
  <si>
    <t xml:space="preserve">✔  Free updates and priority email support</t>
  </si>
  <si>
    <t xml:space="preserve">Price: ₹19 (regular ₹99) – one-time payment, instant download</t>
  </si>
  <si>
    <t xml:space="preserve">Get it at https://pblab.in/templates/full-and-final-settlement</t>
  </si>
  <si>
    <t xml:space="preserve">Questions? support@pblab.in · https://pblab.in/contact</t>
  </si>
</sst>
</file>

<file path=xl/styles.xml><?xml version="1.0" encoding="utf-8"?>
<styleSheet xmlns="http://schemas.openxmlformats.org/spreadsheetml/2006/main">
  <numFmts count="8">
    <numFmt numFmtId="164" formatCode="General"/>
    <numFmt numFmtId="165" formatCode="dd\-mmm\-yyyy"/>
    <numFmt numFmtId="166" formatCode="#,##0;\(#,##0\);\-"/>
    <numFmt numFmtId="167" formatCode="0.0"/>
    <numFmt numFmtId="168" formatCode="0"/>
    <numFmt numFmtId="169" formatCode="0.0%;\(0.0%\);\-"/>
    <numFmt numFmtId="170" formatCode="0.00%"/>
    <numFmt numFmtId="171" formatCode="0.00"/>
  </numFmts>
  <fonts count="17">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9"/>
      <color rgb="FF595959"/>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1"/>
      <color rgb="FF1F3864"/>
      <name val="Arial"/>
      <family val="0"/>
      <charset val="1"/>
    </font>
    <font>
      <sz val="10"/>
      <name val="Arial"/>
      <family val="0"/>
      <charset val="1"/>
    </font>
    <font>
      <sz val="10"/>
      <color rgb="FF0000FF"/>
      <name val="Arial"/>
      <family val="0"/>
      <charset val="1"/>
    </font>
    <font>
      <sz val="10"/>
      <color rgb="FF008000"/>
      <name val="Arial"/>
      <family val="0"/>
      <charset val="1"/>
    </font>
    <font>
      <b val="true"/>
      <sz val="14"/>
      <color rgb="FF1F3864"/>
      <name val="Arial"/>
      <family val="0"/>
      <charset val="1"/>
    </font>
    <font>
      <sz val="8"/>
      <color rgb="FF808080"/>
      <name val="Arial"/>
      <family val="0"/>
      <charset val="1"/>
    </font>
    <font>
      <b val="true"/>
      <sz val="16"/>
      <color rgb="FFC65911"/>
      <name val="Arial"/>
      <family val="0"/>
      <charset val="1"/>
    </font>
    <font>
      <b val="true"/>
      <u val="single"/>
      <sz val="11"/>
      <color rgb="FF0563C1"/>
      <name val="Arial"/>
      <family val="0"/>
      <charset val="1"/>
    </font>
  </fonts>
  <fills count="6">
    <fill>
      <patternFill patternType="none"/>
    </fill>
    <fill>
      <patternFill patternType="gray125"/>
    </fill>
    <fill>
      <patternFill patternType="solid">
        <fgColor rgb="FFFFF2CC"/>
        <bgColor rgb="FFFCE4D6"/>
      </patternFill>
    </fill>
    <fill>
      <patternFill patternType="solid">
        <fgColor rgb="FFFCE4D6"/>
        <bgColor rgb="FFFFF2CC"/>
      </patternFill>
    </fill>
    <fill>
      <patternFill patternType="solid">
        <fgColor rgb="FFD9E1F2"/>
        <bgColor rgb="FFE2EFDA"/>
      </patternFill>
    </fill>
    <fill>
      <patternFill patternType="solid">
        <fgColor rgb="FFE2EFDA"/>
        <bgColor rgb="FFD9E1F2"/>
      </patternFill>
    </fill>
  </fills>
  <borders count="3">
    <border diagonalUp="false" diagonalDown="false">
      <left/>
      <right/>
      <top/>
      <bottom/>
      <diagonal/>
    </border>
    <border diagonalUp="false" diagonalDown="false">
      <left/>
      <right/>
      <top style="thin">
        <color rgb="FF808080"/>
      </top>
      <bottom/>
      <diagonal/>
    </border>
    <border diagonalUp="false" diagonalDown="false">
      <left/>
      <right/>
      <top style="thin">
        <color rgb="FF808080"/>
      </top>
      <bottom style="double">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2"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6" fillId="4" borderId="0" xfId="0" applyFont="true" applyBorder="false" applyAlignment="tru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5" fontId="11" fillId="2" borderId="0" xfId="0" applyFont="true" applyBorder="false" applyAlignment="true" applyProtection="false">
      <alignment horizontal="general" vertical="bottom" textRotation="0" wrapText="fals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7" fontId="11" fillId="2" borderId="0" xfId="0" applyFont="true" applyBorder="false" applyAlignment="true" applyProtection="false">
      <alignment horizontal="general" vertical="bottom" textRotation="0" wrapText="false" indent="0" shrinkToFit="false"/>
      <protection locked="true" hidden="false"/>
    </xf>
    <xf numFmtId="168" fontId="11" fillId="2" borderId="0" xfId="0" applyFont="true" applyBorder="false" applyAlignment="true" applyProtection="false">
      <alignment horizontal="general" vertical="bottom" textRotation="0" wrapText="false" indent="0" shrinkToFit="false"/>
      <protection locked="true" hidden="false"/>
    </xf>
    <xf numFmtId="169" fontId="11" fillId="2" borderId="0" xfId="0" applyFont="true" applyBorder="false" applyAlignment="true" applyProtection="false">
      <alignment horizontal="general" vertical="bottom" textRotation="0" wrapText="false" indent="0" shrinkToFit="false"/>
      <protection locked="true" hidden="false"/>
    </xf>
    <xf numFmtId="170" fontId="11" fillId="2" borderId="0" xfId="0" applyFont="true" applyBorder="fals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71" fontId="10" fillId="0" borderId="0" xfId="0" applyFont="true" applyBorder="false" applyAlignment="true" applyProtection="false">
      <alignment horizontal="general" vertical="bottom" textRotation="0" wrapText="false" indent="0" shrinkToFit="false"/>
      <protection locked="true" hidden="false"/>
    </xf>
    <xf numFmtId="166" fontId="6" fillId="0" borderId="1" xfId="0" applyFont="true" applyBorder="true" applyAlignment="true" applyProtection="false">
      <alignment horizontal="general" vertical="bottom" textRotation="0" wrapText="false" indent="0" shrinkToFit="false"/>
      <protection locked="true" hidden="false"/>
    </xf>
    <xf numFmtId="166" fontId="6" fillId="5" borderId="2" xfId="0" applyFont="true" applyBorder="tru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006100"/>
      </font>
      <fill>
        <patternFill>
          <bgColor rgb="FFC6EFCE"/>
        </patternFill>
      </fill>
    </dxf>
    <dxf>
      <font>
        <name val="Arial"/>
        <charset val="1"/>
        <family val="0"/>
        <b val="1"/>
        <color rgb="FF9C0006"/>
      </font>
      <fill>
        <patternFill>
          <bgColor rgb="FFFFC7CE"/>
        </patternFill>
      </fill>
    </dxf>
  </dxfs>
  <colors>
    <indexedColors>
      <rgbColor rgb="FF000000"/>
      <rgbColor rgb="FFFCE4D6"/>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2CC"/>
      <rgbColor rgb="FFE2EFDA"/>
      <rgbColor rgb="FF660066"/>
      <rgbColor rgb="FFFF8080"/>
      <rgbColor rgb="FF0563C1"/>
      <rgbColor rgb="FFD9E1F2"/>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7CE"/>
      <rgbColor rgb="FF3366FF"/>
      <rgbColor rgb="FF33CCCC"/>
      <rgbColor rgb="FF99CC00"/>
      <rgbColor rgb="FFFFC000"/>
      <rgbColor rgb="FFFF9900"/>
      <rgbColor rgb="FFC65911"/>
      <rgbColor rgb="FF595959"/>
      <rgbColor rgb="FF70AD47"/>
      <rgbColor rgb="FF1F3864"/>
      <rgbColor rgb="FF339966"/>
      <rgbColor rgb="FF0061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hyperlink" Target="https://pblab.in/templates/full-and-final-settlemen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B2:C4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2"/>
  </cols>
  <sheetData>
    <row r="2" customFormat="false" ht="19.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c r="C4" s="5" t="s">
        <v>3</v>
      </c>
    </row>
    <row r="5" customFormat="false" ht="15" hidden="false" customHeight="true" outlineLevel="0" collapsed="false">
      <c r="B5" s="4" t="s">
        <v>4</v>
      </c>
      <c r="C5" s="6" t="str">
        <f aca="false">IF(AND(Settlement!B45="OK",Settlement!B46="OK"),"✔ "&amp;Inputs!$B$5&amp;": net "&amp;IF(Settlement!$B$38&gt;=0,"payable ₹"&amp;TEXT(Settlement!$B$38,"#,##0"),"recoverable ₹"&amp;TEXT(-Settlement!$B$38,"#,##0"))&amp;" – pay by "&amp;TEXT(Settlement!$B$41,"dd-mmm-yyyy"),"✘ Check the dates in Inputs")</f>
        <v>✔ Kavita Sahu: net payable ₹98,571 – pay by 03-Nov-2026</v>
      </c>
    </row>
    <row r="7" customFormat="false" ht="15" hidden="false" customHeight="true" outlineLevel="0" collapsed="false">
      <c r="B7" s="7" t="s">
        <v>5</v>
      </c>
    </row>
    <row r="8" customFormat="false" ht="69.75" hidden="false" customHeight="true" outlineLevel="0" collapsed="false">
      <c r="B8" s="8"/>
      <c r="C8" s="8" t="s">
        <v>6</v>
      </c>
    </row>
    <row r="10" customFormat="false" ht="15" hidden="false" customHeight="true" outlineLevel="0" collapsed="false">
      <c r="B10" s="7" t="s">
        <v>7</v>
      </c>
    </row>
    <row r="11" customFormat="false" ht="27.75" hidden="false" customHeight="true" outlineLevel="0" collapsed="false">
      <c r="B11" s="9" t="s">
        <v>8</v>
      </c>
      <c r="C11" s="8" t="s">
        <v>9</v>
      </c>
    </row>
    <row r="12" customFormat="false" ht="27.75" hidden="false" customHeight="true" outlineLevel="0" collapsed="false">
      <c r="B12" s="9" t="s">
        <v>10</v>
      </c>
      <c r="C12" s="8" t="s">
        <v>11</v>
      </c>
    </row>
    <row r="13" customFormat="false" ht="15" hidden="false" customHeight="true" outlineLevel="0" collapsed="false">
      <c r="B13" s="9" t="s">
        <v>12</v>
      </c>
      <c r="C13" s="8" t="s">
        <v>13</v>
      </c>
    </row>
    <row r="15" customFormat="false" ht="15" hidden="false" customHeight="true" outlineLevel="0" collapsed="false">
      <c r="B15" s="7" t="s">
        <v>14</v>
      </c>
    </row>
    <row r="16" customFormat="false" ht="15" hidden="false" customHeight="true" outlineLevel="0" collapsed="false">
      <c r="B16" s="10" t="s">
        <v>15</v>
      </c>
      <c r="C16" s="8" t="s">
        <v>16</v>
      </c>
    </row>
    <row r="17" customFormat="false" ht="15" hidden="false" customHeight="true" outlineLevel="0" collapsed="false">
      <c r="B17" s="9" t="s">
        <v>17</v>
      </c>
      <c r="C17" s="8" t="s">
        <v>18</v>
      </c>
    </row>
    <row r="18" customFormat="false" ht="15" hidden="false" customHeight="true" outlineLevel="0" collapsed="false">
      <c r="B18" s="11" t="s">
        <v>19</v>
      </c>
      <c r="C18" s="8" t="s">
        <v>20</v>
      </c>
    </row>
    <row r="19" customFormat="false" ht="15" hidden="false" customHeight="true" outlineLevel="0" collapsed="false">
      <c r="B19" s="12" t="s">
        <v>21</v>
      </c>
      <c r="C19" s="8" t="s">
        <v>22</v>
      </c>
    </row>
    <row r="21" customFormat="false" ht="15" hidden="false" customHeight="true" outlineLevel="0" collapsed="false">
      <c r="B21" s="7" t="s">
        <v>23</v>
      </c>
    </row>
    <row r="22" customFormat="false" ht="42" hidden="false" customHeight="true" outlineLevel="0" collapsed="false">
      <c r="B22" s="9" t="s">
        <v>24</v>
      </c>
      <c r="C22" s="8" t="s">
        <v>25</v>
      </c>
    </row>
    <row r="23" customFormat="false" ht="27.75" hidden="false" customHeight="true" outlineLevel="0" collapsed="false">
      <c r="B23" s="9" t="s">
        <v>26</v>
      </c>
      <c r="C23" s="8" t="s">
        <v>27</v>
      </c>
    </row>
    <row r="24" customFormat="false" ht="42" hidden="false" customHeight="true" outlineLevel="0" collapsed="false">
      <c r="B24" s="9" t="s">
        <v>28</v>
      </c>
      <c r="C24" s="8" t="s">
        <v>29</v>
      </c>
    </row>
    <row r="25" customFormat="false" ht="27.75" hidden="false" customHeight="true" outlineLevel="0" collapsed="false">
      <c r="B25" s="9" t="s">
        <v>30</v>
      </c>
      <c r="C25" s="8" t="s">
        <v>31</v>
      </c>
    </row>
    <row r="27" customFormat="false" ht="15" hidden="false" customHeight="true" outlineLevel="0" collapsed="false">
      <c r="B27" s="7" t="s">
        <v>32</v>
      </c>
    </row>
    <row r="28" customFormat="false" ht="27.75" hidden="false" customHeight="true" outlineLevel="0" collapsed="false">
      <c r="B28" s="8"/>
      <c r="C28" s="8" t="s">
        <v>33</v>
      </c>
    </row>
    <row r="30" customFormat="false" ht="15" hidden="false" customHeight="true" outlineLevel="0" collapsed="false">
      <c r="B30" s="7" t="s">
        <v>34</v>
      </c>
    </row>
    <row r="31" customFormat="false" ht="27.75" hidden="false" customHeight="true" outlineLevel="0" collapsed="false">
      <c r="B31" s="9" t="s">
        <v>35</v>
      </c>
      <c r="C31" s="8" t="s">
        <v>36</v>
      </c>
    </row>
    <row r="32" customFormat="false" ht="27.75" hidden="false" customHeight="true" outlineLevel="0" collapsed="false">
      <c r="B32" s="9" t="s">
        <v>35</v>
      </c>
      <c r="C32" s="8" t="s">
        <v>37</v>
      </c>
    </row>
    <row r="33" customFormat="false" ht="15" hidden="false" customHeight="true" outlineLevel="0" collapsed="false">
      <c r="B33" s="9" t="s">
        <v>35</v>
      </c>
      <c r="C33" s="8" t="s">
        <v>38</v>
      </c>
    </row>
    <row r="35" customFormat="false" ht="15" hidden="false" customHeight="true" outlineLevel="0" collapsed="false">
      <c r="B35" s="7" t="s">
        <v>39</v>
      </c>
    </row>
    <row r="36" customFormat="false" ht="15" hidden="false" customHeight="true" outlineLevel="0" collapsed="false">
      <c r="B36" s="9" t="s">
        <v>40</v>
      </c>
      <c r="C36" s="8" t="s">
        <v>41</v>
      </c>
    </row>
    <row r="37" customFormat="false" ht="15" hidden="false" customHeight="true" outlineLevel="0" collapsed="false">
      <c r="B37" s="9" t="s">
        <v>42</v>
      </c>
      <c r="C37" s="8" t="s">
        <v>43</v>
      </c>
    </row>
    <row r="38" customFormat="false" ht="15" hidden="false" customHeight="true" outlineLevel="0" collapsed="false">
      <c r="B38" s="9" t="s">
        <v>44</v>
      </c>
      <c r="C38" s="8" t="s">
        <v>45</v>
      </c>
    </row>
    <row r="39" customFormat="false" ht="27.75" hidden="false" customHeight="true" outlineLevel="0" collapsed="false">
      <c r="B39" s="9" t="s">
        <v>46</v>
      </c>
      <c r="C39" s="8" t="s">
        <v>47</v>
      </c>
    </row>
    <row r="40" customFormat="false" ht="27.75" hidden="false" customHeight="true" outlineLevel="0" collapsed="false">
      <c r="B40" s="9" t="s">
        <v>48</v>
      </c>
      <c r="C40" s="8" t="s">
        <v>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D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17"/>
    <col collapsed="false" customWidth="true" hidden="false" outlineLevel="0" max="3" min="3" style="1" width="3"/>
    <col collapsed="false" customWidth="true" hidden="false" outlineLevel="0" max="4" min="4" style="1" width="70"/>
  </cols>
  <sheetData>
    <row r="1" customFormat="false" ht="21.75" hidden="false" customHeight="true" outlineLevel="0" collapsed="false">
      <c r="A1" s="13" t="s">
        <v>50</v>
      </c>
      <c r="D1" s="14" t="s">
        <v>51</v>
      </c>
    </row>
    <row r="2" customFormat="false" ht="15" hidden="false" customHeight="true" outlineLevel="0" collapsed="false">
      <c r="A2" s="3" t="s">
        <v>52</v>
      </c>
    </row>
    <row r="4" customFormat="false" ht="15" hidden="false" customHeight="true" outlineLevel="0" collapsed="false">
      <c r="A4" s="15" t="s">
        <v>53</v>
      </c>
      <c r="B4" s="16"/>
      <c r="C4" s="16"/>
      <c r="D4" s="16"/>
    </row>
    <row r="5" customFormat="false" ht="15" hidden="false" customHeight="true" outlineLevel="0" collapsed="false">
      <c r="A5" s="17" t="s">
        <v>54</v>
      </c>
      <c r="B5" s="18" t="s">
        <v>55</v>
      </c>
    </row>
    <row r="6" customFormat="false" ht="15" hidden="false" customHeight="true" outlineLevel="0" collapsed="false">
      <c r="A6" s="17" t="s">
        <v>56</v>
      </c>
      <c r="B6" s="18" t="s">
        <v>57</v>
      </c>
    </row>
    <row r="7" customFormat="false" ht="15" hidden="false" customHeight="true" outlineLevel="0" collapsed="false">
      <c r="A7" s="17" t="s">
        <v>58</v>
      </c>
      <c r="B7" s="18" t="s">
        <v>59</v>
      </c>
    </row>
    <row r="8" customFormat="false" ht="15" hidden="false" customHeight="true" outlineLevel="0" collapsed="false">
      <c r="A8" s="17" t="s">
        <v>60</v>
      </c>
      <c r="B8" s="18" t="s">
        <v>61</v>
      </c>
    </row>
    <row r="9" customFormat="false" ht="15" hidden="false" customHeight="true" outlineLevel="0" collapsed="false">
      <c r="A9" s="17" t="s">
        <v>62</v>
      </c>
      <c r="B9" s="19" t="n">
        <v>44298</v>
      </c>
    </row>
    <row r="10" customFormat="false" ht="15" hidden="false" customHeight="true" outlineLevel="0" collapsed="false">
      <c r="A10" s="17" t="s">
        <v>63</v>
      </c>
      <c r="B10" s="19" t="n">
        <v>46280</v>
      </c>
    </row>
    <row r="11" customFormat="false" ht="15" hidden="false" customHeight="true" outlineLevel="0" collapsed="false">
      <c r="A11" s="17" t="s">
        <v>64</v>
      </c>
      <c r="B11" s="19" t="n">
        <v>46326</v>
      </c>
    </row>
    <row r="12" customFormat="false" ht="15" hidden="false" customHeight="true" outlineLevel="0" collapsed="false">
      <c r="A12" s="17" t="s">
        <v>65</v>
      </c>
      <c r="B12" s="18" t="s">
        <v>66</v>
      </c>
    </row>
    <row r="13" customFormat="false" ht="15" hidden="false" customHeight="true" outlineLevel="0" collapsed="false">
      <c r="A13" s="17" t="s">
        <v>67</v>
      </c>
      <c r="B13" s="18" t="s">
        <v>68</v>
      </c>
    </row>
    <row r="14" customFormat="false" ht="15" hidden="false" customHeight="true" outlineLevel="0" collapsed="false">
      <c r="A14" s="15" t="s">
        <v>69</v>
      </c>
      <c r="B14" s="16"/>
      <c r="C14" s="16"/>
      <c r="D14" s="16"/>
    </row>
    <row r="15" customFormat="false" ht="15" hidden="false" customHeight="true" outlineLevel="0" collapsed="false">
      <c r="A15" s="17" t="s">
        <v>70</v>
      </c>
      <c r="B15" s="20" t="n">
        <v>18500</v>
      </c>
      <c r="D15" s="3" t="s">
        <v>71</v>
      </c>
    </row>
    <row r="16" customFormat="false" ht="15" hidden="false" customHeight="true" outlineLevel="0" collapsed="false">
      <c r="A16" s="17" t="s">
        <v>72</v>
      </c>
      <c r="B16" s="20" t="n">
        <v>9250</v>
      </c>
    </row>
    <row r="17" customFormat="false" ht="15" hidden="false" customHeight="true" outlineLevel="0" collapsed="false">
      <c r="A17" s="17" t="s">
        <v>73</v>
      </c>
      <c r="B17" s="20" t="n">
        <v>7250</v>
      </c>
    </row>
    <row r="18" customFormat="false" ht="15" hidden="false" customHeight="true" outlineLevel="0" collapsed="false">
      <c r="A18" s="17" t="s">
        <v>74</v>
      </c>
      <c r="B18" s="21" t="n">
        <v>31</v>
      </c>
      <c r="D18" s="3" t="s">
        <v>75</v>
      </c>
    </row>
    <row r="19" customFormat="false" ht="15" hidden="false" customHeight="true" outlineLevel="0" collapsed="false">
      <c r="A19" s="15" t="s">
        <v>76</v>
      </c>
      <c r="B19" s="16"/>
      <c r="C19" s="16"/>
      <c r="D19" s="16"/>
    </row>
    <row r="20" customFormat="false" ht="15" hidden="false" customHeight="true" outlineLevel="0" collapsed="false">
      <c r="A20" s="17" t="s">
        <v>77</v>
      </c>
      <c r="B20" s="22" t="n">
        <v>60</v>
      </c>
      <c r="D20" s="3" t="s">
        <v>78</v>
      </c>
    </row>
    <row r="21" customFormat="false" ht="15" hidden="false" customHeight="true" outlineLevel="0" collapsed="false">
      <c r="A21" s="17" t="s">
        <v>79</v>
      </c>
      <c r="B21" s="18" t="s">
        <v>80</v>
      </c>
    </row>
    <row r="22" customFormat="false" ht="15" hidden="false" customHeight="true" outlineLevel="0" collapsed="false">
      <c r="A22" s="17" t="s">
        <v>81</v>
      </c>
      <c r="B22" s="18" t="s">
        <v>82</v>
      </c>
    </row>
    <row r="23" customFormat="false" ht="15" hidden="false" customHeight="true" outlineLevel="0" collapsed="false">
      <c r="A23" s="17" t="s">
        <v>83</v>
      </c>
      <c r="B23" s="22" t="n">
        <v>0</v>
      </c>
      <c r="D23" s="3" t="s">
        <v>84</v>
      </c>
    </row>
    <row r="24" customFormat="false" ht="15" hidden="false" customHeight="true" outlineLevel="0" collapsed="false">
      <c r="A24" s="15" t="s">
        <v>85</v>
      </c>
      <c r="B24" s="16"/>
      <c r="C24" s="16"/>
      <c r="D24" s="16"/>
    </row>
    <row r="25" customFormat="false" ht="15" hidden="false" customHeight="true" outlineLevel="0" collapsed="false">
      <c r="A25" s="17" t="s">
        <v>86</v>
      </c>
      <c r="B25" s="21" t="n">
        <v>18</v>
      </c>
      <c r="D25" s="3" t="s">
        <v>87</v>
      </c>
    </row>
    <row r="26" customFormat="false" ht="15" hidden="false" customHeight="true" outlineLevel="0" collapsed="false">
      <c r="A26" s="17" t="s">
        <v>88</v>
      </c>
      <c r="B26" s="22" t="n">
        <v>30</v>
      </c>
      <c r="D26" s="3" t="s">
        <v>89</v>
      </c>
    </row>
    <row r="27" customFormat="false" ht="15" hidden="false" customHeight="true" outlineLevel="0" collapsed="false">
      <c r="A27" s="17" t="s">
        <v>90</v>
      </c>
      <c r="B27" s="20" t="n">
        <v>7400</v>
      </c>
    </row>
    <row r="28" customFormat="false" ht="15" hidden="false" customHeight="true" outlineLevel="0" collapsed="false">
      <c r="A28" s="17" t="s">
        <v>91</v>
      </c>
      <c r="B28" s="20" t="n">
        <v>3200</v>
      </c>
    </row>
    <row r="29" customFormat="false" ht="15" hidden="false" customHeight="true" outlineLevel="0" collapsed="false">
      <c r="A29" s="17" t="s">
        <v>92</v>
      </c>
      <c r="B29" s="20" t="n">
        <v>0</v>
      </c>
    </row>
    <row r="30" customFormat="false" ht="15" hidden="false" customHeight="true" outlineLevel="0" collapsed="false">
      <c r="A30" s="15" t="s">
        <v>93</v>
      </c>
      <c r="B30" s="16"/>
      <c r="C30" s="16"/>
      <c r="D30" s="16"/>
    </row>
    <row r="31" customFormat="false" ht="15" hidden="false" customHeight="true" outlineLevel="0" collapsed="false">
      <c r="A31" s="17" t="s">
        <v>94</v>
      </c>
      <c r="B31" s="18" t="s">
        <v>95</v>
      </c>
    </row>
    <row r="32" customFormat="false" ht="15" hidden="false" customHeight="true" outlineLevel="0" collapsed="false">
      <c r="A32" s="17" t="s">
        <v>96</v>
      </c>
      <c r="B32" s="18" t="s">
        <v>80</v>
      </c>
    </row>
    <row r="33" customFormat="false" ht="15" hidden="false" customHeight="true" outlineLevel="0" collapsed="false">
      <c r="A33" s="17" t="s">
        <v>97</v>
      </c>
      <c r="B33" s="20" t="n">
        <v>200</v>
      </c>
    </row>
    <row r="34" customFormat="false" ht="15" hidden="false" customHeight="true" outlineLevel="0" collapsed="false">
      <c r="A34" s="17" t="s">
        <v>98</v>
      </c>
      <c r="B34" s="20" t="n">
        <v>0</v>
      </c>
      <c r="D34" s="3" t="s">
        <v>99</v>
      </c>
    </row>
    <row r="35" customFormat="false" ht="15" hidden="false" customHeight="true" outlineLevel="0" collapsed="false">
      <c r="A35" s="15" t="s">
        <v>100</v>
      </c>
      <c r="B35" s="16"/>
      <c r="C35" s="16"/>
      <c r="D35" s="16"/>
    </row>
    <row r="36" customFormat="false" ht="15" hidden="false" customHeight="true" outlineLevel="0" collapsed="false">
      <c r="A36" s="17" t="s">
        <v>101</v>
      </c>
      <c r="B36" s="20" t="n">
        <v>5000</v>
      </c>
    </row>
    <row r="37" customFormat="false" ht="15" hidden="false" customHeight="true" outlineLevel="0" collapsed="false">
      <c r="A37" s="17" t="s">
        <v>102</v>
      </c>
      <c r="B37" s="20" t="n">
        <v>0</v>
      </c>
    </row>
    <row r="38" customFormat="false" ht="15" hidden="false" customHeight="true" outlineLevel="0" collapsed="false">
      <c r="A38" s="17" t="s">
        <v>103</v>
      </c>
      <c r="B38" s="20" t="n">
        <v>0</v>
      </c>
    </row>
    <row r="39" customFormat="false" ht="15" hidden="false" customHeight="true" outlineLevel="0" collapsed="false">
      <c r="A39" s="15" t="s">
        <v>104</v>
      </c>
      <c r="B39" s="16"/>
      <c r="C39" s="16"/>
      <c r="D39" s="16"/>
    </row>
    <row r="40" customFormat="false" ht="15" hidden="false" customHeight="true" outlineLevel="0" collapsed="false">
      <c r="A40" s="17" t="s">
        <v>105</v>
      </c>
      <c r="B40" s="20" t="n">
        <v>15000</v>
      </c>
      <c r="D40" s="3" t="s">
        <v>106</v>
      </c>
    </row>
    <row r="41" customFormat="false" ht="15" hidden="false" customHeight="true" outlineLevel="0" collapsed="false">
      <c r="A41" s="17" t="s">
        <v>107</v>
      </c>
      <c r="B41" s="23" t="n">
        <v>0.12</v>
      </c>
    </row>
    <row r="42" customFormat="false" ht="15" hidden="false" customHeight="true" outlineLevel="0" collapsed="false">
      <c r="A42" s="17" t="s">
        <v>108</v>
      </c>
      <c r="B42" s="24" t="n">
        <v>0.0075</v>
      </c>
    </row>
    <row r="43" customFormat="false" ht="15" hidden="false" customHeight="true" outlineLevel="0" collapsed="false">
      <c r="A43" s="17" t="s">
        <v>109</v>
      </c>
      <c r="B43" s="20" t="n">
        <v>2000000</v>
      </c>
    </row>
  </sheetData>
  <dataValidations count="6">
    <dataValidation allowBlank="true" errorStyle="stop" operator="between" showDropDown="false" showErrorMessage="false" showInputMessage="false" sqref="B12" type="list">
      <formula1>"Resignation,Termination by employer,Retirement,Death or disablement,Fixed-term contract ended"</formula1>
      <formula2>0</formula2>
    </dataValidation>
    <dataValidation allowBlank="true" errorStyle="stop" operator="between" showDropDown="false" showErrorMessage="false" showInputMessage="false" sqref="B13" type="list">
      <formula1>"Permanent,Fixed-term"</formula1>
      <formula2>0</formula2>
    </dataValidation>
    <dataValidation allowBlank="true" errorStyle="stop" operator="between" showDropDown="false" showErrorMessage="false" showInputMessage="false" sqref="B21" type="list">
      <formula1>"Y,N"</formula1>
      <formula2>0</formula2>
    </dataValidation>
    <dataValidation allowBlank="true" errorStyle="stop" operator="between" showDropDown="false" showErrorMessage="false" showInputMessage="false" sqref="B22" type="list">
      <formula1>"Gross,Basic + DA"</formula1>
      <formula2>0</formula2>
    </dataValidation>
    <dataValidation allowBlank="true" errorStyle="stop" operator="between" showDropDown="false" showErrorMessage="false" showInputMessage="false" sqref="B31" type="list">
      <formula1>"Y,N"</formula1>
      <formula2>0</formula2>
    </dataValidation>
    <dataValidation allowBlank="true" errorStyle="stop" operator="between" showDropDown="false" showErrorMessage="false" showInputMessage="false" sqref="B32" type="list">
      <formula1>"Y,N"</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D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16"/>
    <col collapsed="false" customWidth="true" hidden="false" outlineLevel="0" max="3" min="3" style="1" width="3"/>
    <col collapsed="false" customWidth="true" hidden="false" outlineLevel="0" max="4" min="4" style="1" width="66"/>
  </cols>
  <sheetData>
    <row r="1" customFormat="false" ht="21.75" hidden="false" customHeight="true" outlineLevel="0" collapsed="false">
      <c r="A1" s="13" t="s">
        <v>110</v>
      </c>
      <c r="D1" s="14" t="s">
        <v>51</v>
      </c>
    </row>
    <row r="2" customFormat="false" ht="15" hidden="false" customHeight="true" outlineLevel="0" collapsed="false">
      <c r="A2" s="3" t="str">
        <f aca="false">Inputs!$B$5&amp;" ("&amp;Inputs!$B$6&amp;") – last working day "&amp;TEXT(Inputs!$B$11,"dd-mmm-yyyy")</f>
        <v>Kavita Sahu (E002) – last working day 31-Oct-2026</v>
      </c>
    </row>
    <row r="4" customFormat="false" ht="15" hidden="false" customHeight="true" outlineLevel="0" collapsed="false">
      <c r="A4" s="15" t="s">
        <v>111</v>
      </c>
      <c r="B4" s="16"/>
      <c r="C4" s="16"/>
      <c r="D4" s="16"/>
    </row>
    <row r="5" customFormat="false" ht="15" hidden="false" customHeight="true" outlineLevel="0" collapsed="false">
      <c r="A5" s="17" t="s">
        <v>112</v>
      </c>
      <c r="B5" s="25" t="n">
        <f aca="false">DAY(EOMONTH(Inputs!$B$11,0))</f>
        <v>31</v>
      </c>
    </row>
    <row r="6" customFormat="false" ht="15" hidden="false" customHeight="true" outlineLevel="0" collapsed="false">
      <c r="A6" s="17" t="s">
        <v>113</v>
      </c>
      <c r="B6" s="26" t="n">
        <f aca="false">Inputs!$B$15+Inputs!$B$16+Inputs!$B$17</f>
        <v>35000</v>
      </c>
    </row>
    <row r="7" customFormat="false" ht="15" hidden="false" customHeight="true" outlineLevel="0" collapsed="false">
      <c r="A7" s="17" t="s">
        <v>114</v>
      </c>
      <c r="B7" s="25" t="n">
        <f aca="false">MAX(0,Inputs!$B$11-Inputs!$B$10+1)</f>
        <v>47</v>
      </c>
    </row>
    <row r="8" customFormat="false" ht="15" hidden="false" customHeight="true" outlineLevel="0" collapsed="false">
      <c r="A8" s="17" t="s">
        <v>115</v>
      </c>
      <c r="B8" s="25" t="n">
        <f aca="false">IF(Inputs!$B$12="Resignation",MAX(0,Inputs!$B$20-Settlement!$B$7),0)</f>
        <v>13</v>
      </c>
      <c r="D8" s="3" t="s">
        <v>116</v>
      </c>
    </row>
    <row r="9" customFormat="false" ht="15" hidden="false" customHeight="true" outlineLevel="0" collapsed="false">
      <c r="A9" s="17" t="s">
        <v>117</v>
      </c>
      <c r="B9" s="25" t="n">
        <f aca="false">DATEDIF(Inputs!$B$9,Inputs!$B$11+1,"y")</f>
        <v>5</v>
      </c>
    </row>
    <row r="10" customFormat="false" ht="15" hidden="false" customHeight="true" outlineLevel="0" collapsed="false">
      <c r="A10" s="17" t="s">
        <v>118</v>
      </c>
      <c r="B10" s="25" t="n">
        <f aca="false">DATEDIF(Inputs!$B$9,Inputs!$B$11+1,"ym")</f>
        <v>6</v>
      </c>
    </row>
    <row r="11" customFormat="false" ht="15" hidden="false" customHeight="true" outlineLevel="0" collapsed="false">
      <c r="A11" s="17" t="s">
        <v>119</v>
      </c>
      <c r="B11" s="25" t="n">
        <f aca="false">DATEDIF(Inputs!$B$9,Inputs!$B$11+1,"md")</f>
        <v>20</v>
      </c>
    </row>
    <row r="12" customFormat="false" ht="15" hidden="false" customHeight="true" outlineLevel="0" collapsed="false">
      <c r="A12" s="17" t="s">
        <v>120</v>
      </c>
      <c r="B12" s="27" t="n">
        <f aca="false">(Inputs!$B$11+1-Inputs!$B$9)/365.25</f>
        <v>5.55509924709103</v>
      </c>
    </row>
    <row r="13" customFormat="false" ht="15" hidden="false" customHeight="true" outlineLevel="0" collapsed="false">
      <c r="A13" s="17" t="s">
        <v>121</v>
      </c>
      <c r="B13" s="27" t="n">
        <f aca="false">IF(Inputs!$B$13="Fixed-term",ROUND(Settlement!$B$12,2),Settlement!$B$9+IF(OR(Settlement!$B$10&gt;6,AND(Settlement!$B$10=6,Settlement!$B$11&gt;0)),1,0))</f>
        <v>6</v>
      </c>
    </row>
    <row r="14" customFormat="false" ht="15" hidden="false" customHeight="true" outlineLevel="0" collapsed="false">
      <c r="A14" s="17" t="s">
        <v>122</v>
      </c>
      <c r="B14" s="17" t="str">
        <f aca="false">IF(Inputs!$B$12="Death or disablement","Yes",IF(Settlement!$B$12&gt;=IF(Inputs!$B$13="Fixed-term",1,5),"Yes","No"))</f>
        <v>Yes</v>
      </c>
      <c r="D14" s="3" t="s">
        <v>123</v>
      </c>
    </row>
    <row r="15" customFormat="false" ht="15" hidden="false" customHeight="true" outlineLevel="0" collapsed="false">
      <c r="A15" s="17" t="s">
        <v>124</v>
      </c>
      <c r="B15" s="26" t="n">
        <f aca="false">ROUND(Inputs!$B$15*Inputs!$B$18/Settlement!$B$5,0)</f>
        <v>18500</v>
      </c>
    </row>
    <row r="17" customFormat="false" ht="15" hidden="false" customHeight="true" outlineLevel="0" collapsed="false">
      <c r="A17" s="15" t="s">
        <v>125</v>
      </c>
      <c r="B17" s="16"/>
      <c r="C17" s="16"/>
      <c r="D17" s="16"/>
    </row>
    <row r="18" customFormat="false" ht="15" hidden="false" customHeight="true" outlineLevel="0" collapsed="false">
      <c r="A18" s="17" t="s">
        <v>126</v>
      </c>
      <c r="B18" s="26" t="n">
        <f aca="false">ROUND(Settlement!$B$6*Inputs!$B$18/Settlement!$B$5,0)</f>
        <v>35000</v>
      </c>
      <c r="D18" s="3" t="s">
        <v>127</v>
      </c>
    </row>
    <row r="19" customFormat="false" ht="15" hidden="false" customHeight="true" outlineLevel="0" collapsed="false">
      <c r="A19" s="17" t="s">
        <v>128</v>
      </c>
      <c r="B19" s="26" t="n">
        <f aca="false">ROUND(IF(Inputs!$B$22="Gross",Settlement!$B$6,Inputs!$B$15)/30*Inputs!$B$23,0)</f>
        <v>0</v>
      </c>
    </row>
    <row r="20" customFormat="false" ht="15" hidden="false" customHeight="true" outlineLevel="0" collapsed="false">
      <c r="A20" s="17" t="s">
        <v>26</v>
      </c>
      <c r="B20" s="26" t="n">
        <f aca="false">ROUND(Inputs!$B$15/Inputs!$B$26*Inputs!$B$25,0)</f>
        <v>11100</v>
      </c>
      <c r="D20" s="3" t="s">
        <v>129</v>
      </c>
    </row>
    <row r="21" customFormat="false" ht="15" hidden="false" customHeight="true" outlineLevel="0" collapsed="false">
      <c r="A21" s="17" t="s">
        <v>130</v>
      </c>
      <c r="B21" s="26" t="n">
        <f aca="false">Inputs!$B$27</f>
        <v>7400</v>
      </c>
    </row>
    <row r="22" customFormat="false" ht="15" hidden="false" customHeight="true" outlineLevel="0" collapsed="false">
      <c r="A22" s="17" t="s">
        <v>28</v>
      </c>
      <c r="B22" s="26" t="n">
        <f aca="false">IF(Settlement!$B$14="Yes",MIN(Inputs!$B$43,ROUND(Inputs!$B$15*15/26*Settlement!$B$13,0)),0)</f>
        <v>64038</v>
      </c>
      <c r="D22" s="3" t="s">
        <v>131</v>
      </c>
    </row>
    <row r="23" customFormat="false" ht="15" hidden="false" customHeight="true" outlineLevel="0" collapsed="false">
      <c r="A23" s="17" t="s">
        <v>132</v>
      </c>
      <c r="B23" s="26" t="n">
        <f aca="false">Inputs!$B$28</f>
        <v>3200</v>
      </c>
    </row>
    <row r="24" customFormat="false" ht="15" hidden="false" customHeight="true" outlineLevel="0" collapsed="false">
      <c r="A24" s="17" t="s">
        <v>133</v>
      </c>
      <c r="B24" s="26" t="n">
        <f aca="false">Inputs!$B$29</f>
        <v>0</v>
      </c>
    </row>
    <row r="25" customFormat="false" ht="15" hidden="false" customHeight="true" outlineLevel="0" collapsed="false">
      <c r="A25" s="4" t="s">
        <v>134</v>
      </c>
      <c r="B25" s="28" t="n">
        <f aca="false">SUM(B18:B24)</f>
        <v>120738</v>
      </c>
    </row>
    <row r="27" customFormat="false" ht="15" hidden="false" customHeight="true" outlineLevel="0" collapsed="false">
      <c r="A27" s="15" t="s">
        <v>135</v>
      </c>
      <c r="B27" s="16"/>
      <c r="C27" s="16"/>
      <c r="D27" s="16"/>
    </row>
    <row r="28" customFormat="false" ht="15" hidden="false" customHeight="true" outlineLevel="0" collapsed="false">
      <c r="A28" s="17" t="s">
        <v>136</v>
      </c>
      <c r="B28" s="26" t="n">
        <f aca="false">IF(Inputs!$B$31="Y",ROUND(MIN(Settlement!$B$15,Inputs!$B$40)*Inputs!$B$41,0),0)</f>
        <v>1800</v>
      </c>
      <c r="D28" s="3" t="s">
        <v>137</v>
      </c>
    </row>
    <row r="29" customFormat="false" ht="15" hidden="false" customHeight="true" outlineLevel="0" collapsed="false">
      <c r="A29" s="17" t="s">
        <v>138</v>
      </c>
      <c r="B29" s="26" t="n">
        <f aca="false">IF(Inputs!$B$32="Y",ROUNDUP((Settlement!$B$18+Settlement!$B$24)*Inputs!$B$42,0),0)</f>
        <v>0</v>
      </c>
    </row>
    <row r="30" customFormat="false" ht="15" hidden="false" customHeight="true" outlineLevel="0" collapsed="false">
      <c r="A30" s="17" t="s">
        <v>139</v>
      </c>
      <c r="B30" s="26" t="n">
        <f aca="false">Inputs!$B$33</f>
        <v>200</v>
      </c>
    </row>
    <row r="31" customFormat="false" ht="15" hidden="false" customHeight="true" outlineLevel="0" collapsed="false">
      <c r="A31" s="17" t="s">
        <v>140</v>
      </c>
      <c r="B31" s="26" t="n">
        <f aca="false">Inputs!$B$34</f>
        <v>0</v>
      </c>
    </row>
    <row r="32" customFormat="false" ht="15" hidden="false" customHeight="true" outlineLevel="0" collapsed="false">
      <c r="A32" s="17" t="s">
        <v>141</v>
      </c>
      <c r="B32" s="26" t="n">
        <f aca="false">IF(Inputs!$B$21="Y",0,ROUND(IF(Inputs!$B$22="Gross",Settlement!$B$6,Inputs!$B$15)/30*Settlement!$B$8,0))</f>
        <v>15167</v>
      </c>
    </row>
    <row r="33" customFormat="false" ht="15" hidden="false" customHeight="true" outlineLevel="0" collapsed="false">
      <c r="A33" s="17" t="s">
        <v>142</v>
      </c>
      <c r="B33" s="26" t="n">
        <f aca="false">Inputs!$B$36</f>
        <v>5000</v>
      </c>
    </row>
    <row r="34" customFormat="false" ht="15" hidden="false" customHeight="true" outlineLevel="0" collapsed="false">
      <c r="A34" s="17" t="s">
        <v>102</v>
      </c>
      <c r="B34" s="26" t="n">
        <f aca="false">Inputs!$B$37</f>
        <v>0</v>
      </c>
    </row>
    <row r="35" customFormat="false" ht="15" hidden="false" customHeight="true" outlineLevel="0" collapsed="false">
      <c r="A35" s="17" t="s">
        <v>103</v>
      </c>
      <c r="B35" s="26" t="n">
        <f aca="false">Inputs!$B$38</f>
        <v>0</v>
      </c>
    </row>
    <row r="36" customFormat="false" ht="15" hidden="false" customHeight="true" outlineLevel="0" collapsed="false">
      <c r="A36" s="4" t="s">
        <v>143</v>
      </c>
      <c r="B36" s="28" t="n">
        <f aca="false">SUM(B28:B35)</f>
        <v>22167</v>
      </c>
    </row>
    <row r="38" customFormat="false" ht="15" hidden="false" customHeight="true" outlineLevel="0" collapsed="false">
      <c r="A38" s="4" t="s">
        <v>144</v>
      </c>
      <c r="B38" s="29" t="n">
        <f aca="false">Settlement!$B$25-Settlement!$B$36</f>
        <v>98571</v>
      </c>
      <c r="D38" s="3" t="s">
        <v>145</v>
      </c>
    </row>
    <row r="40" customFormat="false" ht="15" hidden="false" customHeight="true" outlineLevel="0" collapsed="false">
      <c r="A40" s="15" t="s">
        <v>146</v>
      </c>
      <c r="B40" s="16"/>
      <c r="C40" s="16"/>
      <c r="D40" s="16"/>
    </row>
    <row r="41" customFormat="false" ht="15" hidden="false" customHeight="true" outlineLevel="0" collapsed="false">
      <c r="A41" s="17" t="s">
        <v>147</v>
      </c>
      <c r="B41" s="30" t="n">
        <f aca="false">WORKDAY(Inputs!$B$11,2)</f>
        <v>46329</v>
      </c>
      <c r="D41" s="3" t="s">
        <v>148</v>
      </c>
    </row>
    <row r="42" customFormat="false" ht="15" hidden="false" customHeight="true" outlineLevel="0" collapsed="false">
      <c r="A42" s="17" t="s">
        <v>149</v>
      </c>
      <c r="B42" s="30" t="n">
        <f aca="false">IF(Settlement!$B$22&gt;0,Inputs!$B$11+30,"Not payable")</f>
        <v>46356</v>
      </c>
      <c r="D42" s="3" t="s">
        <v>150</v>
      </c>
    </row>
    <row r="44" customFormat="false" ht="15" hidden="false" customHeight="true" outlineLevel="0" collapsed="false">
      <c r="A44" s="15" t="s">
        <v>151</v>
      </c>
      <c r="B44" s="16"/>
      <c r="C44" s="16"/>
      <c r="D44" s="16"/>
    </row>
    <row r="45" customFormat="false" ht="15" hidden="false" customHeight="true" outlineLevel="0" collapsed="false">
      <c r="A45" s="17" t="s">
        <v>152</v>
      </c>
      <c r="B45" s="31" t="str">
        <f aca="false">IF(AND(Inputs!$B$11&gt;=Inputs!$B$10,Inputs!$B$10&gt;=Inputs!$B$9),"OK","CHECK")</f>
        <v>OK</v>
      </c>
    </row>
    <row r="46" customFormat="false" ht="15" hidden="false" customHeight="true" outlineLevel="0" collapsed="false">
      <c r="A46" s="17" t="s">
        <v>153</v>
      </c>
      <c r="B46" s="31" t="str">
        <f aca="false">IF(Inputs!$B$18&lt;=Settlement!$B$5,"OK","CHECK")</f>
        <v>OK</v>
      </c>
    </row>
  </sheetData>
  <conditionalFormatting sqref="B45">
    <cfRule type="cellIs" priority="2" operator="equal" aboveAverage="0" equalAverage="0" bottom="0" percent="0" rank="0" text="" dxfId="0">
      <formula>"OK"</formula>
    </cfRule>
    <cfRule type="cellIs" priority="3" operator="equal" aboveAverage="0" equalAverage="0" bottom="0" percent="0" rank="0" text="" dxfId="1">
      <formula>"CHECK"</formula>
    </cfRule>
  </conditionalFormatting>
  <conditionalFormatting sqref="B46">
    <cfRule type="cellIs" priority="4" operator="equal" aboveAverage="0" equalAverage="0" bottom="0" percent="0" rank="0" text="" dxfId="0">
      <formula>"OK"</formula>
    </cfRule>
    <cfRule type="cellIs" priority="5" operator="equal" aboveAverage="0" equalAverage="0" bottom="0" percent="0" rank="0" text="" dxfId="1">
      <formula>"CHECK"</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65911"/>
    <pageSetUpPr fitToPage="false"/>
  </sheetPr>
  <dimension ref="B2:B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32" t="s">
        <v>154</v>
      </c>
    </row>
    <row r="4" customFormat="false" ht="15" hidden="false" customHeight="false" outlineLevel="0" collapsed="false">
      <c r="B4" s="33" t="s">
        <v>155</v>
      </c>
    </row>
    <row r="5" customFormat="false" ht="23.85" hidden="false" customHeight="false" outlineLevel="0" collapsed="false">
      <c r="B5" s="34" t="s">
        <v>156</v>
      </c>
    </row>
    <row r="6" customFormat="false" ht="23.85" hidden="false" customHeight="false" outlineLevel="0" collapsed="false">
      <c r="B6" s="34" t="s">
        <v>157</v>
      </c>
    </row>
    <row r="7" customFormat="false" ht="15" hidden="false" customHeight="false" outlineLevel="0" collapsed="false">
      <c r="B7" s="34" t="s">
        <v>158</v>
      </c>
    </row>
    <row r="9" customFormat="false" ht="15" hidden="false" customHeight="false" outlineLevel="0" collapsed="false">
      <c r="B9" s="33" t="s">
        <v>159</v>
      </c>
    </row>
    <row r="10" customFormat="false" ht="15" hidden="false" customHeight="false" outlineLevel="0" collapsed="false">
      <c r="B10" s="35" t="s">
        <v>160</v>
      </c>
    </row>
    <row r="12" customFormat="false" ht="15" hidden="false" customHeight="false" outlineLevel="0" collapsed="false">
      <c r="B12" s="36" t="s">
        <v>161</v>
      </c>
    </row>
  </sheetData>
  <hyperlinks>
    <hyperlink ref="B10" r:id="rId1" display="Get it at https://pblab.in/templates/full-and-final-settlement"/>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2026-10-12T16:29:22Z</dcterms:created>
  <dc:creator>PB Lab</dc:creator>
  <dc:description/>
  <cp:keywords>PB Lab pblab.in Excel template India</cp:keywords>
  <dc:language>en-US</dc:language>
  <cp:lastModifiedBy/>
  <dcterms:modified xsi:type="dcterms:W3CDTF">2026-10-12T16:29:28Z</dcterms:modified>
  <cp:revision>0</cp:revision>
  <dc:subject>Full and final settlement for an employee who leaves: salary for the last month, notice pay, leave encashment, bonus, gratuity, recoveries, PF/ESI/PT/TDS and the net amount – with the two-working-day payment deadline under the Code on Wages.</dc:subject>
  <dc:title>Full &amp; Final Settlement Calculator</dc:title>
</cp:coreProperties>
</file>

<file path=docProps/custom.xml><?xml version="1.0" encoding="utf-8"?>
<Properties xmlns="http://schemas.openxmlformats.org/officeDocument/2006/custom-properties" xmlns:vt="http://schemas.openxmlformats.org/officeDocument/2006/docPropsVTypes"/>
</file>