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tings" sheetId="2" state="visible" r:id="rId4"/>
    <sheet name="Customers" sheetId="3" state="visible" r:id="rId5"/>
    <sheet name="Items" sheetId="4" state="visible" r:id="rId6"/>
    <sheet name="Sales Register" sheetId="5" state="visible" r:id="rId7"/>
    <sheet name="Invoice" sheetId="6" state="visible" r:id="rId8"/>
    <sheet name="Summary" sheetId="7" state="visible" r:id="rId9"/>
    <sheet name="Lists" sheetId="8" state="visible" r:id="rId10"/>
    <sheet name="Get Pro" sheetId="9" state="visible" r:id="rId11"/>
  </sheets>
  <definedNames>
    <definedName function="false" hidden="false" localSheetId="5" name="_xlnm.Print_Area" vbProcedure="false">Invoice!$A$1:$L$41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<sst xmlns="http://schemas.openxmlformats.org/spreadsheetml/2006/main" count="435" uniqueCount="373">
  <si>
    <t xml:space="preserve">GST Invoice Format &amp; Sales Register</t>
  </si>
  <si>
    <t xml:space="preserve">Print GST tax invoices from a sales register: CGST + SGST or IGST chosen from the place of supply, HSN/SAC, amount in words and invoice-wise totals – Pro adds GSTR-1 summaries, credit/debit notes and receivables.</t>
  </si>
  <si>
    <t xml:space="preserve">Edition</t>
  </si>
  <si>
    <t xml:space="preserve">FREE EDITION – Pro sheets listed below are available in the Pro edition</t>
  </si>
  <si>
    <t xml:space="preserve">Status</t>
  </si>
  <si>
    <t xml:space="preserve">What this template does</t>
  </si>
  <si>
    <t xml:space="preserve">A GST invoicing workbook for small businesses. Keep your customers and items once, record each sale as lines in the Sales Register, and print any invoice by picking its number. The workbook reads the customer's state from the GSTIN (or the state you choose for unregistered buyers), compares it with your own state, and charges CGST + SGST for sales within the state or IGST for sales outside it. The invoice shows every particular required by rule 46 of the CGST Rules, including the amount in words.</t>
  </si>
  <si>
    <t xml:space="preserve">How to use</t>
  </si>
  <si>
    <t xml:space="preserve">1. Settings</t>
  </si>
  <si>
    <t xml:space="preserve">Enter your business name, address, GSTIN, bank details and terms.</t>
  </si>
  <si>
    <t xml:space="preserve">2. Customers and Items</t>
  </si>
  <si>
    <t xml:space="preserve">Add customers (GSTIN or state) and items with HSN/SAC, unit, rate and GST %.</t>
  </si>
  <si>
    <t xml:space="preserve">3. Sales Register</t>
  </si>
  <si>
    <t xml:space="preserve">One row per invoice line: invoice number, date, customer, item, quantity, and rate or discount if different.</t>
  </si>
  <si>
    <t xml:space="preserve">4. Invoice</t>
  </si>
  <si>
    <t xml:space="preserve">Pick the invoice number in N3 and print (A4 portrait). The check in N14 should show OK.</t>
  </si>
  <si>
    <t xml:space="preserve">5. Summary</t>
  </si>
  <si>
    <t xml:space="preserve">Type the month (e.g. Sep-2026) for B2B / B2C totals and GSTR-1 figures.</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</si>
  <si>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</si>
  <si>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</si>
  <si>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</si>
  <si>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</si>
  <si>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</si>
  <si>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</si>
  <si>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</si>
  <si>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</si>
  <si>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</si>
  <si>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</si>
  <si>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Invoice number</t>
  </si>
  <si>
    <t xml:space="preserve">Up to 16 characters (letters, digits, hyphen and slash), consecutive and unique for the financial year.</t>
  </si>
  <si>
    <t xml:space="preserve">HSN digits</t>
  </si>
  <si>
    <t xml:space="preserve">4 digits if aggregate turnover was up to ₹5 crore in the previous year (mandatory on B2B invoices), 6 digits above ₹5 crore.</t>
  </si>
  <si>
    <t xml:space="preserve">GST rates</t>
  </si>
  <si>
    <t xml:space="preserve">From 22 September 2025 most goods and services are at 5% or 18%, with 40% for a small list of luxury and sin goods; 0%, 0.25% and 3% remain for specific items. Check your item's rate before invoicing.</t>
  </si>
  <si>
    <t xml:space="preserve">E-invoicing</t>
  </si>
  <si>
    <t xml:space="preserve">If your aggregate turnover exceeds ₹5 crore, B2B invoices must be reported to the invoice registration portal (IRN and QR code). This workbook does not generate IRNs.</t>
  </si>
  <si>
    <t xml:space="preserve">B2C large</t>
  </si>
  <si>
    <t xml:space="preserve">Inter-state invoices to unregistered buyers above ₹1 lakh are reported invoice-wise in GSTR-1 (B2CL); others are summarised by state and rate (B2CS).</t>
  </si>
  <si>
    <t xml:space="preserve">Assumptions in the sample data</t>
  </si>
  <si>
    <t xml:space="preserve">A Raipur (Chhattisgarh) manufacturer's September 2026 sales: intra-state and inter-state B2B, one unregistered intra-state customer and one consumer in Madhya Pradesh.</t>
  </si>
  <si>
    <t xml:space="preserve">Pro edition includes</t>
  </si>
  <si>
    <t xml:space="preserve">✔</t>
  </si>
  <si>
    <t xml:space="preserve">GSTR-1 Summary – Table 4A (B2B invoice-wise), Table 7 (B2C small by state and rate), Table 9B (credit/debit notes), Table 12 HSN summary split B2B/B2C and Table 13 document count for the month</t>
  </si>
  <si>
    <t xml:space="preserve">Credit &amp; Debit Notes – register for returns and price changes with automatic IGST or CGST/SGST</t>
  </si>
  <si>
    <t xml:space="preserve">Payments &amp; Outstanding – receipts and customer TDS against each invoice, outstanding balance, days overdue and status</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</si>
  <si>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</si>
  <si>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</si>
  <si>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</si>
  <si>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</si>
  <si>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</si>
  <si>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</si>
  <si>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</si>
  <si>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</si>
  <si>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</si>
  <si>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</si>
  <si>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</si>
  <si>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</si>
  <si>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Settings – your business details</t>
  </si>
  <si>
    <t xml:space="preserve">PB Lab · pblab.in/templates</t>
  </si>
  <si>
    <t xml:space="preserve">These appear on every invoice.</t>
  </si>
  <si>
    <t xml:space="preserve">Supplier (you)</t>
  </si>
  <si>
    <t xml:space="preserve">Business name</t>
  </si>
  <si>
    <t xml:space="preserve">Raipur Precision Components Pvt Ltd</t>
  </si>
  <si>
    <t xml:space="preserve">Address</t>
  </si>
  <si>
    <t xml:space="preserve">Plot 42, Urla Industrial Area, Raipur, Chhattisgarh 493221</t>
  </si>
  <si>
    <t xml:space="preserve">GSTIN</t>
  </si>
  <si>
    <t xml:space="preserve">22AABCR1234M1Z5</t>
  </si>
  <si>
    <t xml:space="preserve">The first two digits are your state code.</t>
  </si>
  <si>
    <t xml:space="preserve">PAN</t>
  </si>
  <si>
    <t xml:space="preserve">AABCR1234M</t>
  </si>
  <si>
    <t xml:space="preserve">Phone / email</t>
  </si>
  <si>
    <t xml:space="preserve">+91 98765 43210 · accounts@example.in</t>
  </si>
  <si>
    <t xml:space="preserve">Invoice settings</t>
  </si>
  <si>
    <t xml:space="preserve">Invoice title</t>
  </si>
  <si>
    <t xml:space="preserve">TAX INVOICE</t>
  </si>
  <si>
    <t xml:space="preserve">Use 'BILL OF SUPPLY' if you only supply exempt goods or are under composition.</t>
  </si>
  <si>
    <t xml:space="preserve">Copy label</t>
  </si>
  <si>
    <t xml:space="preserve">Original for Recipient</t>
  </si>
  <si>
    <t xml:space="preserve">Goods: original, duplicate (transporter), triplicate (supplier).</t>
  </si>
  <si>
    <t xml:space="preserve">Bank details</t>
  </si>
  <si>
    <t xml:space="preserve">State Bank of India · A/c 30112233445 · IFSC SBIN0001234</t>
  </si>
  <si>
    <t xml:space="preserve">Terms</t>
  </si>
  <si>
    <t xml:space="preserve">Payment within 30 days. Interest @18% p.a. on delayed payment. Subject to Raipur jurisdiction.</t>
  </si>
  <si>
    <t xml:space="preserve">Signature line</t>
  </si>
  <si>
    <t xml:space="preserve">For Raipur Precision Components Pvt Ltd</t>
  </si>
  <si>
    <t xml:space="preserve">Your state code (from GSTIN)</t>
  </si>
  <si>
    <t xml:space="preserve">Your state</t>
  </si>
  <si>
    <t xml:space="preserve">Customers</t>
  </si>
  <si>
    <t xml:space="preserve">GSTIN decides the state code automatically. For unregistered customers leave GSTIN blank and pick the state.</t>
  </si>
  <si>
    <t xml:space="preserve">Customer name</t>
  </si>
  <si>
    <t xml:space="preserve">Billing address</t>
  </si>
  <si>
    <t xml:space="preserve">State (if no GSTIN)</t>
  </si>
  <si>
    <t xml:space="preserve">State code</t>
  </si>
  <si>
    <t xml:space="preserve">Type</t>
  </si>
  <si>
    <t xml:space="preserve">Bhilai Engineering Works</t>
  </si>
  <si>
    <t xml:space="preserve">22AAFCB4567K1Z2</t>
  </si>
  <si>
    <t xml:space="preserve">Industrial Estate, Bhilai, Chhattisgarh 490026</t>
  </si>
  <si>
    <t xml:space="preserve">Nagpur Auto Parts LLP</t>
  </si>
  <si>
    <t xml:space="preserve">27AAGFN7788P1Z9</t>
  </si>
  <si>
    <t xml:space="preserve">MIDC Hingna, Nagpur, Maharashtra 440016</t>
  </si>
  <si>
    <t xml:space="preserve">Odisha Steel Fabricators</t>
  </si>
  <si>
    <t xml:space="preserve">21AABCO3344Q1Z1</t>
  </si>
  <si>
    <t xml:space="preserve">Kalunga Industrial Estate, Rourkela, Odisha 770031</t>
  </si>
  <si>
    <t xml:space="preserve">Rajesh Traders (unregistered)</t>
  </si>
  <si>
    <t xml:space="preserve">Station Road, Durg, Chhattisgarh 491001</t>
  </si>
  <si>
    <t xml:space="preserve">Chhattisgarh</t>
  </si>
  <si>
    <t xml:space="preserve">Vijay Kumar (consumer)</t>
  </si>
  <si>
    <t xml:space="preserve">Civil Lines, Jabalpur, Madhya Pradesh 482001</t>
  </si>
  <si>
    <t xml:space="preserve">Madhya Pradesh</t>
  </si>
  <si>
    <t xml:space="preserve">Items and services</t>
  </si>
  <si>
    <t xml:space="preserve">HSN for goods, SAC for services. Use 4 digits if your turnover is up to ₹5 crore, 6 digits above that.</t>
  </si>
  <si>
    <t xml:space="preserve">Item / service</t>
  </si>
  <si>
    <t xml:space="preserve">HSN / SAC</t>
  </si>
  <si>
    <t xml:space="preserve">Unit</t>
  </si>
  <si>
    <t xml:space="preserve">Rate (₹)</t>
  </si>
  <si>
    <t xml:space="preserve">GST %</t>
  </si>
  <si>
    <t xml:space="preserve">MS flange 150 mm</t>
  </si>
  <si>
    <t xml:space="preserve">73079990</t>
  </si>
  <si>
    <t xml:space="preserve">Nos</t>
  </si>
  <si>
    <t xml:space="preserve">Precision shaft 40 mm</t>
  </si>
  <si>
    <t xml:space="preserve">84834000</t>
  </si>
  <si>
    <t xml:space="preserve">CNC machining charges</t>
  </si>
  <si>
    <t xml:space="preserve">998873</t>
  </si>
  <si>
    <t xml:space="preserve">Hrs</t>
  </si>
  <si>
    <t xml:space="preserve">Hex bolt M16 (box of 50)</t>
  </si>
  <si>
    <t xml:space="preserve">73181500</t>
  </si>
  <si>
    <t xml:space="preserve">Box</t>
  </si>
  <si>
    <t xml:space="preserve">Agricultural pump coupling</t>
  </si>
  <si>
    <t xml:space="preserve">84139190</t>
  </si>
  <si>
    <t xml:space="preserve">Freight charges</t>
  </si>
  <si>
    <t xml:space="preserve">996511</t>
  </si>
  <si>
    <t xml:space="preserve">Trip</t>
  </si>
  <si>
    <t xml:space="preserve">Sales register – one row per invoice line</t>
  </si>
  <si>
    <t xml:space="preserve">Type the invoice number on every line of the invoice. Blue columns are inputs; the rest is calculated.</t>
  </si>
  <si>
    <t xml:space="preserve">Invoice no.</t>
  </si>
  <si>
    <t xml:space="preserve">Date</t>
  </si>
  <si>
    <t xml:space="preserve">Customer</t>
  </si>
  <si>
    <t xml:space="preserve">Qty</t>
  </si>
  <si>
    <t xml:space="preserve">Rate (blank = list)</t>
  </si>
  <si>
    <t xml:space="preserve">Disc %</t>
  </si>
  <si>
    <t xml:space="preserve">Line key</t>
  </si>
  <si>
    <t xml:space="preserve">Rate used</t>
  </si>
  <si>
    <t xml:space="preserve">Taxable value</t>
  </si>
  <si>
    <t xml:space="preserve">Place of supply</t>
  </si>
  <si>
    <t xml:space="preserve">Inter-state?</t>
  </si>
  <si>
    <t xml:space="preserve">IGST</t>
  </si>
  <si>
    <t xml:space="preserve">CGST</t>
  </si>
  <si>
    <t xml:space="preserve">SGST</t>
  </si>
  <si>
    <t xml:space="preserve">Line total</t>
  </si>
  <si>
    <t xml:space="preserve">Customer GSTIN</t>
  </si>
  <si>
    <t xml:space="preserve">Month</t>
  </si>
  <si>
    <t xml:space="preserve">PRC/26-27/0141</t>
  </si>
  <si>
    <t xml:space="preserve">PRC/26-27/0142</t>
  </si>
  <si>
    <t xml:space="preserve">PRC/26-27/0143</t>
  </si>
  <si>
    <t xml:space="preserve">PRC/26-27/0144</t>
  </si>
  <si>
    <t xml:space="preserve">PRC/26-27/0145</t>
  </si>
  <si>
    <t xml:space="preserve">PRC/26-27/0146</t>
  </si>
  <si>
    <t xml:space="preserve">Total</t>
  </si>
  <si>
    <t xml:space="preserve">Invoice no. to print</t>
  </si>
  <si>
    <t xml:space="preserve">Invoice date</t>
  </si>
  <si>
    <t xml:space="preserve">First register row</t>
  </si>
  <si>
    <t xml:space="preserve">Reverse charge</t>
  </si>
  <si>
    <t xml:space="preserve">Bill to</t>
  </si>
  <si>
    <t xml:space="preserve">Lines on invoice</t>
  </si>
  <si>
    <t xml:space="preserve">Lines beyond 15 are not printed – split the invoice.</t>
  </si>
  <si>
    <t xml:space="preserve">#</t>
  </si>
  <si>
    <t xml:space="preserve">Description</t>
  </si>
  <si>
    <t xml:space="preserve">HSN/SAC</t>
  </si>
  <si>
    <t xml:space="preserve">Rate</t>
  </si>
  <si>
    <t xml:space="preserve">Check: invoice total = register total</t>
  </si>
  <si>
    <t xml:space="preserve">Amount in words</t>
  </si>
  <si>
    <t xml:space="preserve">Total GST</t>
  </si>
  <si>
    <t xml:space="preserve">Round off</t>
  </si>
  <si>
    <t xml:space="preserve">Invoice total (₹)</t>
  </si>
  <si>
    <t xml:space="preserve">Authorised signatory</t>
  </si>
  <si>
    <t xml:space="preserve">Certified that the particulars given above are true and correct.</t>
  </si>
  <si>
    <t xml:space="preserve">Monthly sales and GST summary</t>
  </si>
  <si>
    <t xml:space="preserve">Sep-2026</t>
  </si>
  <si>
    <t xml:space="preserve">type as Mmm-yyyy, e.g. Sep-2026</t>
  </si>
  <si>
    <t xml:space="preserve">Invoices</t>
  </si>
  <si>
    <t xml:space="preserve">B2B (registered)</t>
  </si>
  <si>
    <t xml:space="preserve">B2C large (inter-state &gt; ₹1 lakh)</t>
  </si>
  <si>
    <t xml:space="preserve">B2C small</t>
  </si>
  <si>
    <t xml:space="preserve">GSTR-1 due (monthly filer)</t>
  </si>
  <si>
    <t xml:space="preserve">11th of next month; quarterly (QRMP) filers file by the 13th after the quarter.</t>
  </si>
  <si>
    <t xml:space="preserve">Check: register lines with an unknown state code</t>
  </si>
  <si>
    <t xml:space="preserve">Check: invoice numbers longer than 16 characters</t>
  </si>
  <si>
    <t xml:space="preserve">Lists – state codes and number words</t>
  </si>
  <si>
    <t xml:space="preserve">Used by formulas. You don't need to change anything here.</t>
  </si>
  <si>
    <t xml:space="preserve">Code</t>
  </si>
  <si>
    <t xml:space="preserve">State / UT</t>
  </si>
  <si>
    <t xml:space="preserve">Number</t>
  </si>
  <si>
    <t xml:space="preserve">In words</t>
  </si>
  <si>
    <t xml:space="preserve">01</t>
  </si>
  <si>
    <t xml:space="preserve">Jammu and Kashmir</t>
  </si>
  <si>
    <t xml:space="preserve">02</t>
  </si>
  <si>
    <t xml:space="preserve">Himachal Pradesh</t>
  </si>
  <si>
    <t xml:space="preserve">One</t>
  </si>
  <si>
    <t xml:space="preserve">03</t>
  </si>
  <si>
    <t xml:space="preserve">Punjab</t>
  </si>
  <si>
    <t xml:space="preserve">Two</t>
  </si>
  <si>
    <t xml:space="preserve">04</t>
  </si>
  <si>
    <t xml:space="preserve">Chandigarh</t>
  </si>
  <si>
    <t xml:space="preserve">Three</t>
  </si>
  <si>
    <t xml:space="preserve">05</t>
  </si>
  <si>
    <t xml:space="preserve">Uttarakhand</t>
  </si>
  <si>
    <t xml:space="preserve">Four</t>
  </si>
  <si>
    <t xml:space="preserve">06</t>
  </si>
  <si>
    <t xml:space="preserve">Haryana</t>
  </si>
  <si>
    <t xml:space="preserve">Five</t>
  </si>
  <si>
    <t xml:space="preserve">07</t>
  </si>
  <si>
    <t xml:space="preserve">Delhi</t>
  </si>
  <si>
    <t xml:space="preserve">Six</t>
  </si>
  <si>
    <t xml:space="preserve">08</t>
  </si>
  <si>
    <t xml:space="preserve">Rajasthan</t>
  </si>
  <si>
    <t xml:space="preserve">Seven</t>
  </si>
  <si>
    <t xml:space="preserve">09</t>
  </si>
  <si>
    <t xml:space="preserve">Uttar Pradesh</t>
  </si>
  <si>
    <t xml:space="preserve">Eight</t>
  </si>
  <si>
    <t xml:space="preserve">10</t>
  </si>
  <si>
    <t xml:space="preserve">Bihar</t>
  </si>
  <si>
    <t xml:space="preserve">Nine</t>
  </si>
  <si>
    <t xml:space="preserve">11</t>
  </si>
  <si>
    <t xml:space="preserve">Sikkim</t>
  </si>
  <si>
    <t xml:space="preserve">Ten</t>
  </si>
  <si>
    <t xml:space="preserve">12</t>
  </si>
  <si>
    <t xml:space="preserve">Arunachal Pradesh</t>
  </si>
  <si>
    <t xml:space="preserve">Eleven</t>
  </si>
  <si>
    <t xml:space="preserve">13</t>
  </si>
  <si>
    <t xml:space="preserve">Nagaland</t>
  </si>
  <si>
    <t xml:space="preserve">Twelve</t>
  </si>
  <si>
    <t xml:space="preserve">14</t>
  </si>
  <si>
    <t xml:space="preserve">Manipur</t>
  </si>
  <si>
    <t xml:space="preserve">Thirteen</t>
  </si>
  <si>
    <t xml:space="preserve">15</t>
  </si>
  <si>
    <t xml:space="preserve">Mizoram</t>
  </si>
  <si>
    <t xml:space="preserve">Fourteen</t>
  </si>
  <si>
    <t xml:space="preserve">16</t>
  </si>
  <si>
    <t xml:space="preserve">Tripura</t>
  </si>
  <si>
    <t xml:space="preserve">Fifteen</t>
  </si>
  <si>
    <t xml:space="preserve">17</t>
  </si>
  <si>
    <t xml:space="preserve">Meghalaya</t>
  </si>
  <si>
    <t xml:space="preserve">Sixteen</t>
  </si>
  <si>
    <t xml:space="preserve">18</t>
  </si>
  <si>
    <t xml:space="preserve">Assam</t>
  </si>
  <si>
    <t xml:space="preserve">Seventeen</t>
  </si>
  <si>
    <t xml:space="preserve">19</t>
  </si>
  <si>
    <t xml:space="preserve">West Bengal</t>
  </si>
  <si>
    <t xml:space="preserve">Eighteen</t>
  </si>
  <si>
    <t xml:space="preserve">20</t>
  </si>
  <si>
    <t xml:space="preserve">Jharkhand</t>
  </si>
  <si>
    <t xml:space="preserve">Nineteen</t>
  </si>
  <si>
    <t xml:space="preserve">21</t>
  </si>
  <si>
    <t xml:space="preserve">Odisha</t>
  </si>
  <si>
    <t xml:space="preserve">Twenty</t>
  </si>
  <si>
    <t xml:space="preserve">22</t>
  </si>
  <si>
    <t xml:space="preserve">Twenty-One</t>
  </si>
  <si>
    <t xml:space="preserve">23</t>
  </si>
  <si>
    <t xml:space="preserve">Twenty-Two</t>
  </si>
  <si>
    <t xml:space="preserve">24</t>
  </si>
  <si>
    <t xml:space="preserve">Gujarat</t>
  </si>
  <si>
    <t xml:space="preserve">Twenty-Three</t>
  </si>
  <si>
    <t xml:space="preserve">26</t>
  </si>
  <si>
    <t xml:space="preserve">Dadra and Nagar Haveli and Daman and Diu</t>
  </si>
  <si>
    <t xml:space="preserve">Twenty-Four</t>
  </si>
  <si>
    <t xml:space="preserve">27</t>
  </si>
  <si>
    <t xml:space="preserve">Maharashtra</t>
  </si>
  <si>
    <t xml:space="preserve">Twenty-Five</t>
  </si>
  <si>
    <t xml:space="preserve">29</t>
  </si>
  <si>
    <t xml:space="preserve">Karnataka</t>
  </si>
  <si>
    <t xml:space="preserve">Twenty-Six</t>
  </si>
  <si>
    <t xml:space="preserve">30</t>
  </si>
  <si>
    <t xml:space="preserve">Goa</t>
  </si>
  <si>
    <t xml:space="preserve">Twenty-Seven</t>
  </si>
  <si>
    <t xml:space="preserve">31</t>
  </si>
  <si>
    <t xml:space="preserve">Lakshadweep</t>
  </si>
  <si>
    <t xml:space="preserve">Twenty-Eight</t>
  </si>
  <si>
    <t xml:space="preserve">32</t>
  </si>
  <si>
    <t xml:space="preserve">Kerala</t>
  </si>
  <si>
    <t xml:space="preserve">Twenty-Nine</t>
  </si>
  <si>
    <t xml:space="preserve">33</t>
  </si>
  <si>
    <t xml:space="preserve">Tamil Nadu</t>
  </si>
  <si>
    <t xml:space="preserve">Thirty</t>
  </si>
  <si>
    <t xml:space="preserve">34</t>
  </si>
  <si>
    <t xml:space="preserve">Puducherry</t>
  </si>
  <si>
    <t xml:space="preserve">Thirty-One</t>
  </si>
  <si>
    <t xml:space="preserve">35</t>
  </si>
  <si>
    <t xml:space="preserve">Andaman and Nicobar Islands</t>
  </si>
  <si>
    <t xml:space="preserve">Thirty-Two</t>
  </si>
  <si>
    <t xml:space="preserve">36</t>
  </si>
  <si>
    <t xml:space="preserve">Telangana</t>
  </si>
  <si>
    <t xml:space="preserve">Thirty-Three</t>
  </si>
  <si>
    <t xml:space="preserve">37</t>
  </si>
  <si>
    <t xml:space="preserve">Andhra Pradesh</t>
  </si>
  <si>
    <t xml:space="preserve">Thirty-Four</t>
  </si>
  <si>
    <t xml:space="preserve">38</t>
  </si>
  <si>
    <t xml:space="preserve">Ladakh</t>
  </si>
  <si>
    <t xml:space="preserve">Thirty-Five</t>
  </si>
  <si>
    <t xml:space="preserve">97</t>
  </si>
  <si>
    <t xml:space="preserve">Other Territory</t>
  </si>
  <si>
    <t xml:space="preserve">Thirty-Six</t>
  </si>
  <si>
    <t xml:space="preserve">Thirty-Seven</t>
  </si>
  <si>
    <t xml:space="preserve">Thirty-Eight</t>
  </si>
  <si>
    <t xml:space="preserve">Thirty-Nine</t>
  </si>
  <si>
    <t xml:space="preserve">Forty</t>
  </si>
  <si>
    <t xml:space="preserve">Forty-One</t>
  </si>
  <si>
    <t xml:space="preserve">Forty-Two</t>
  </si>
  <si>
    <t xml:space="preserve">Forty-Three</t>
  </si>
  <si>
    <t xml:space="preserve">Forty-Four</t>
  </si>
  <si>
    <t xml:space="preserve">Forty-Five</t>
  </si>
  <si>
    <t xml:space="preserve">Forty-Six</t>
  </si>
  <si>
    <t xml:space="preserve">Forty-Seven</t>
  </si>
  <si>
    <t xml:space="preserve">Forty-Eight</t>
  </si>
  <si>
    <t xml:space="preserve">Forty-Nine</t>
  </si>
  <si>
    <t xml:space="preserve">Fifty</t>
  </si>
  <si>
    <t xml:space="preserve">Fifty-One</t>
  </si>
  <si>
    <t xml:space="preserve">Fifty-Two</t>
  </si>
  <si>
    <t xml:space="preserve">Fifty-Three</t>
  </si>
  <si>
    <t xml:space="preserve">Fifty-Four</t>
  </si>
  <si>
    <t xml:space="preserve">Fifty-Five</t>
  </si>
  <si>
    <t xml:space="preserve">Fifty-Six</t>
  </si>
  <si>
    <t xml:space="preserve">Fifty-Seven</t>
  </si>
  <si>
    <t xml:space="preserve">Fifty-Eight</t>
  </si>
  <si>
    <t xml:space="preserve">Fifty-Nine</t>
  </si>
  <si>
    <t xml:space="preserve">Sixty</t>
  </si>
  <si>
    <t xml:space="preserve">Sixty-One</t>
  </si>
  <si>
    <t xml:space="preserve">Sixty-Two</t>
  </si>
  <si>
    <t xml:space="preserve">Sixty-Three</t>
  </si>
  <si>
    <t xml:space="preserve">Sixty-Four</t>
  </si>
  <si>
    <t xml:space="preserve">Sixty-Five</t>
  </si>
  <si>
    <t xml:space="preserve">Sixty-Six</t>
  </si>
  <si>
    <t xml:space="preserve">Sixty-Seven</t>
  </si>
  <si>
    <t xml:space="preserve">Sixty-Eight</t>
  </si>
  <si>
    <t xml:space="preserve">Sixty-Nine</t>
  </si>
  <si>
    <t xml:space="preserve">Seventy</t>
  </si>
  <si>
    <t xml:space="preserve">Seventy-One</t>
  </si>
  <si>
    <t xml:space="preserve">Seventy-Two</t>
  </si>
  <si>
    <t xml:space="preserve">Seventy-Three</t>
  </si>
  <si>
    <t xml:space="preserve">Seventy-Four</t>
  </si>
  <si>
    <t xml:space="preserve">Seventy-Five</t>
  </si>
  <si>
    <t xml:space="preserve">Seventy-Six</t>
  </si>
  <si>
    <t xml:space="preserve">Seventy-Seven</t>
  </si>
  <si>
    <t xml:space="preserve">Seventy-Eight</t>
  </si>
  <si>
    <t xml:space="preserve">Seventy-Nine</t>
  </si>
  <si>
    <t xml:space="preserve">Eighty</t>
  </si>
  <si>
    <t xml:space="preserve">Eighty-One</t>
  </si>
  <si>
    <t xml:space="preserve">Eighty-Two</t>
  </si>
  <si>
    <t xml:space="preserve">Eighty-Three</t>
  </si>
  <si>
    <t xml:space="preserve">Eighty-Four</t>
  </si>
  <si>
    <t xml:space="preserve">Eighty-Five</t>
  </si>
  <si>
    <t xml:space="preserve">Eighty-Six</t>
  </si>
  <si>
    <t xml:space="preserve">Eighty-Seven</t>
  </si>
  <si>
    <t xml:space="preserve">Eighty-Eight</t>
  </si>
  <si>
    <t xml:space="preserve">Eighty-Nine</t>
  </si>
  <si>
    <t xml:space="preserve">Ninety</t>
  </si>
  <si>
    <t xml:space="preserve">Ninety-One</t>
  </si>
  <si>
    <t xml:space="preserve">Ninety-Two</t>
  </si>
  <si>
    <t xml:space="preserve">Ninety-Three</t>
  </si>
  <si>
    <t xml:space="preserve">Ninety-Four</t>
  </si>
  <si>
    <t xml:space="preserve">Ninety-Five</t>
  </si>
  <si>
    <t xml:space="preserve">Ninety-Six</t>
  </si>
  <si>
    <t xml:space="preserve">Ninety-Seven</t>
  </si>
  <si>
    <t xml:space="preserve">Ninety-Eight</t>
  </si>
  <si>
    <t xml:space="preserve">Ninety-Nine</t>
  </si>
  <si>
    <t xml:space="preserve">Upgrade to GST Invoice Format &amp; Sales Register – Pro</t>
  </si>
  <si>
    <t xml:space="preserve">The Pro edition adds:</t>
  </si>
  <si>
    <t xml:space="preserve">✔  GSTR-1 Summary – Table 4A (B2B invoice-wise), Table 7 (B2C small by state and rate), Table 9B (credit/debit notes), Table 12 HSN summary split B2B/B2C and Table 13 document count for the month</t>
  </si>
  <si>
    <t xml:space="preserve">✔  Credit &amp; Debit Notes – register for returns and price changes with automatic IGST or CGST/SGST</t>
  </si>
  <si>
    <t xml:space="preserve">✔  Payments &amp; Outstanding – receipts and customer TDS against each invoice, outstanding balance, days overdue and status</t>
  </si>
  <si>
    <t xml:space="preserve">✔  Free updates and priority email support</t>
  </si>
  <si>
    <t xml:space="preserve">Price: ₹19 (regular ₹99) – one-time payment, instant download</t>
  </si>
  <si>
    <t xml:space="preserve">Get it at https://pblab.in/templates/gst-invoice-format-sales-register</t>
  </si>
  <si>
    <t xml:space="preserve">Questions? support@pblab.in · https://pblab.in/contact</t>
  </si>
</sst>
</file>

<file path=xl/styles.xml><?xml version="1.0" encoding="utf-8"?>
<styleSheet xmlns="http://schemas.openxmlformats.org/spreadsheetml/2006/main">
  <numFmts count="7">
    <numFmt numFmtId="164" formatCode="General"/>
    <numFmt numFmtId="165" formatCode="@"/>
    <numFmt numFmtId="166" formatCode="#,##0.00;\(#,##0.00\);\-"/>
    <numFmt numFmtId="167" formatCode="0.0%;\(0.0%\);\-"/>
    <numFmt numFmtId="168" formatCode="dd\-mmm\-yyyy"/>
    <numFmt numFmtId="169" formatCode="#,##0.##"/>
    <numFmt numFmtId="170" formatCode="0"/>
  </numFmts>
  <fonts count="19">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2"/>
      <name val="Arial"/>
      <family val="0"/>
      <charset val="1"/>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E2EFDA"/>
      </patternFill>
    </fill>
    <fill>
      <patternFill patternType="solid">
        <fgColor rgb="FF1F3864"/>
        <bgColor rgb="FF333333"/>
      </patternFill>
    </fill>
    <fill>
      <patternFill patternType="solid">
        <fgColor rgb="FFE2EFDA"/>
        <bgColor rgb="FFD9E1F2"/>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4" fontId="15" fillId="5" borderId="0" xfId="0" applyFont="true" applyBorder="false" applyAlignment="true" applyProtection="false">
      <alignment horizontal="center" vertical="center" textRotation="0" wrapText="true" indent="0" shrinkToFit="false"/>
      <protection locked="true" hidden="false"/>
    </xf>
    <xf numFmtId="165" fontId="10" fillId="0" borderId="0" xfId="0" applyFont="true" applyBorder="false" applyAlignment="true" applyProtection="false">
      <alignment horizontal="center"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7" fontId="11" fillId="2" borderId="1" xfId="0" applyFont="true" applyBorder="true" applyAlignment="true" applyProtection="false">
      <alignment horizontal="general" vertical="bottom" textRotation="0" wrapText="false" indent="0" shrinkToFit="false"/>
      <protection locked="true" hidden="false"/>
    </xf>
    <xf numFmtId="168" fontId="11" fillId="2" borderId="0" xfId="0" applyFont="true" applyBorder="false" applyAlignment="true" applyProtection="false">
      <alignment horizontal="general" vertical="bottom" textRotation="0" wrapText="false" indent="0" shrinkToFit="false"/>
      <protection locked="true" hidden="false"/>
    </xf>
    <xf numFmtId="169" fontId="11" fillId="2"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8" fontId="11" fillId="2" borderId="1" xfId="0" applyFont="true" applyBorder="true" applyAlignment="true" applyProtection="false">
      <alignment horizontal="general" vertical="bottom" textRotation="0" wrapText="false" indent="0" shrinkToFit="false"/>
      <protection locked="true" hidden="false"/>
    </xf>
    <xf numFmtId="169" fontId="11" fillId="2" borderId="1"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8" fontId="10" fillId="0" borderId="0" xfId="0" applyFont="true" applyBorder="true" applyAlignment="true" applyProtection="false">
      <alignment horizontal="left" vertical="bottom" textRotation="0" wrapText="false" indent="0" shrinkToFit="false"/>
      <protection locked="true" hidden="false"/>
    </xf>
    <xf numFmtId="170" fontId="10" fillId="0" borderId="0" xfId="0" applyFont="true" applyBorder="false" applyAlignment="true" applyProtection="false">
      <alignment horizontal="general" vertical="bottom" textRotation="0" wrapText="false" indent="0" shrinkToFit="false"/>
      <protection locked="true" hidden="false"/>
    </xf>
    <xf numFmtId="164" fontId="6" fillId="4" borderId="0" xfId="0" applyFont="true" applyBorder="true" applyAlignment="true" applyProtection="false">
      <alignment horizontal="general" vertical="bottom" textRotation="0" wrapText="false" indent="0" shrinkToFit="false"/>
      <protection locked="true" hidden="false"/>
    </xf>
    <xf numFmtId="170" fontId="10"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9" fontId="10" fillId="0"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right"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6" fontId="6" fillId="6" borderId="2"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70" fontId="6" fillId="0" borderId="2" xfId="0" applyFont="true" applyBorder="tru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FC7CE"/>
        </patternFill>
      </fill>
    </dxf>
    <dxf>
      <font>
        <name val="Arial"/>
        <charset val="1"/>
        <family val="0"/>
        <b val="1"/>
        <color rgb="FF006100"/>
      </font>
      <fill>
        <patternFill>
          <bgColor rgb="FFC6EFCE"/>
        </patternFill>
      </fill>
    </dxf>
    <dxf>
      <font>
        <name val="Arial"/>
        <charset val="1"/>
        <family val="0"/>
        <b val="1"/>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C6EFCE"/>
      <rgbColor rgb="FFFCE4D6"/>
      <rgbColor rgb="FF99CCFF"/>
      <rgbColor rgb="FFFF99CC"/>
      <rgbColor rgb="FFCC99FF"/>
      <rgbColor rgb="FFFFC7CE"/>
      <rgbColor rgb="FF3366FF"/>
      <rgbColor rgb="FF33CCCC"/>
      <rgbColor rgb="FF99CC00"/>
      <rgbColor rgb="FFFFC000"/>
      <rgbColor rgb="FFFF9900"/>
      <rgbColor rgb="FFC65911"/>
      <rgbColor rgb="FF595959"/>
      <rgbColor rgb="FFA6A6A6"/>
      <rgbColor rgb="FF1F3864"/>
      <rgbColor rgb="FF70AD47"/>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hyperlink" Target="https://pblab.in/templates/gst-invoice-format-sales-regist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IF(AND(Summary!F13=0,Summary!F14=0),"✔ "&amp;Summary!$B$3&amp;": "&amp;Summary!G9&amp;" invoices, taxable ₹"&amp;TEXT(Summary!B9,"#,##0")&amp;", GST ₹"&amp;TEXT(Summary!C9+Summary!D9+Summary!E9,"#,##0"),"✘ Check the Summary sheet (state codes or invoice numbers)")</f>
        <v>✔ Sep-2026: 6 invoices, taxable ₹613,175, GST ₹99,556</v>
      </c>
    </row>
    <row r="7" customFormat="false" ht="15" hidden="false" customHeight="true" outlineLevel="0" collapsed="false">
      <c r="B7" s="7" t="s">
        <v>5</v>
      </c>
    </row>
    <row r="8" customFormat="false" ht="84" hidden="false" customHeight="true" outlineLevel="0" collapsed="false">
      <c r="B8" s="8"/>
      <c r="C8" s="8" t="s">
        <v>6</v>
      </c>
    </row>
    <row r="10" customFormat="false" ht="15" hidden="false" customHeight="true" outlineLevel="0" collapsed="false">
      <c r="B10" s="7" t="s">
        <v>7</v>
      </c>
    </row>
    <row r="11" customFormat="false" ht="15" hidden="false" customHeight="true" outlineLevel="0" collapsed="false">
      <c r="B11" s="9" t="s">
        <v>8</v>
      </c>
      <c r="C11" s="8" t="s">
        <v>9</v>
      </c>
    </row>
    <row r="12" customFormat="false" ht="15" hidden="false" customHeight="true" outlineLevel="0" collapsed="false">
      <c r="B12" s="9" t="s">
        <v>10</v>
      </c>
      <c r="C12" s="8" t="s">
        <v>11</v>
      </c>
    </row>
    <row r="13" customFormat="false" ht="27.75" hidden="false" customHeight="true" outlineLevel="0" collapsed="false">
      <c r="B13" s="9" t="s">
        <v>12</v>
      </c>
      <c r="C13" s="8" t="s">
        <v>13</v>
      </c>
    </row>
    <row r="14" customFormat="false" ht="15" hidden="false" customHeight="true" outlineLevel="0" collapsed="false">
      <c r="B14" s="9" t="s">
        <v>14</v>
      </c>
      <c r="C14" s="8" t="s">
        <v>15</v>
      </c>
    </row>
    <row r="15" customFormat="false" ht="15" hidden="false" customHeight="true" outlineLevel="0" collapsed="false">
      <c r="B15" s="9" t="s">
        <v>16</v>
      </c>
      <c r="C15" s="8" t="s">
        <v>17</v>
      </c>
    </row>
    <row r="17" customFormat="false" ht="15" hidden="false" customHeight="true" outlineLevel="0" collapsed="false">
      <c r="B17" s="7" t="s">
        <v>18</v>
      </c>
    </row>
    <row r="18" customFormat="false" ht="15" hidden="false" customHeight="true" outlineLevel="0" collapsed="false">
      <c r="B18" s="10" t="s">
        <v>19</v>
      </c>
      <c r="C18" s="8" t="s">
        <v>20</v>
      </c>
    </row>
    <row r="19" customFormat="false" ht="15" hidden="false" customHeight="true" outlineLevel="0" collapsed="false">
      <c r="B19" s="9" t="s">
        <v>21</v>
      </c>
      <c r="C19" s="8" t="s">
        <v>22</v>
      </c>
    </row>
    <row r="20" customFormat="false" ht="15" hidden="false" customHeight="true" outlineLevel="0" collapsed="false">
      <c r="B20" s="11" t="s">
        <v>23</v>
      </c>
      <c r="C20" s="8" t="s">
        <v>24</v>
      </c>
    </row>
    <row r="21" customFormat="false" ht="15" hidden="false" customHeight="true" outlineLevel="0" collapsed="false">
      <c r="B21" s="12" t="s">
        <v>25</v>
      </c>
      <c r="C21" s="8" t="s">
        <v>26</v>
      </c>
    </row>
    <row r="23" customFormat="false" ht="15" hidden="false" customHeight="true" outlineLevel="0" collapsed="false">
      <c r="B23" s="7" t="s">
        <v>27</v>
      </c>
    </row>
    <row r="24" customFormat="false" ht="27.75" hidden="false" customHeight="true" outlineLevel="0" collapsed="false">
      <c r="B24" s="9" t="s">
        <v>28</v>
      </c>
      <c r="C24" s="8" t="s">
        <v>29</v>
      </c>
    </row>
    <row r="25" customFormat="false" ht="27.75" hidden="false" customHeight="true" outlineLevel="0" collapsed="false">
      <c r="B25" s="9" t="s">
        <v>30</v>
      </c>
      <c r="C25" s="8" t="s">
        <v>31</v>
      </c>
    </row>
    <row r="26" customFormat="false" ht="42" hidden="false" customHeight="true" outlineLevel="0" collapsed="false">
      <c r="B26" s="9" t="s">
        <v>32</v>
      </c>
      <c r="C26" s="8" t="s">
        <v>33</v>
      </c>
    </row>
    <row r="27" customFormat="false" ht="27.75" hidden="false" customHeight="true" outlineLevel="0" collapsed="false">
      <c r="B27" s="9" t="s">
        <v>34</v>
      </c>
      <c r="C27" s="8" t="s">
        <v>35</v>
      </c>
    </row>
    <row r="28" customFormat="false" ht="27.75" hidden="false" customHeight="true" outlineLevel="0" collapsed="false">
      <c r="B28" s="9" t="s">
        <v>36</v>
      </c>
      <c r="C28" s="8" t="s">
        <v>37</v>
      </c>
    </row>
    <row r="30" customFormat="false" ht="15" hidden="false" customHeight="true" outlineLevel="0" collapsed="false">
      <c r="B30" s="7" t="s">
        <v>38</v>
      </c>
    </row>
    <row r="31" customFormat="false" ht="27.75" hidden="false" customHeight="true" outlineLevel="0" collapsed="false">
      <c r="B31" s="8"/>
      <c r="C31" s="8" t="s">
        <v>39</v>
      </c>
    </row>
    <row r="33" customFormat="false" ht="15" hidden="false" customHeight="true" outlineLevel="0" collapsed="false">
      <c r="B33" s="7" t="s">
        <v>40</v>
      </c>
    </row>
    <row r="34" customFormat="false" ht="27.75" hidden="false" customHeight="true" outlineLevel="0" collapsed="false">
      <c r="B34" s="9" t="s">
        <v>41</v>
      </c>
      <c r="C34" s="8" t="s">
        <v>42</v>
      </c>
    </row>
    <row r="35" customFormat="false" ht="15" hidden="false" customHeight="true" outlineLevel="0" collapsed="false">
      <c r="B35" s="9" t="s">
        <v>41</v>
      </c>
      <c r="C35" s="8" t="s">
        <v>43</v>
      </c>
    </row>
    <row r="36" customFormat="false" ht="27.75" hidden="false" customHeight="true" outlineLevel="0" collapsed="false">
      <c r="B36" s="9" t="s">
        <v>41</v>
      </c>
      <c r="C36" s="8" t="s">
        <v>44</v>
      </c>
    </row>
    <row r="37" customFormat="false" ht="15" hidden="false" customHeight="true" outlineLevel="0" collapsed="false">
      <c r="B37" s="9" t="s">
        <v>41</v>
      </c>
      <c r="C37" s="8" t="s">
        <v>45</v>
      </c>
    </row>
    <row r="39" customFormat="false" ht="15" hidden="false" customHeight="true" outlineLevel="0" collapsed="false">
      <c r="B39" s="7" t="s">
        <v>46</v>
      </c>
    </row>
    <row r="40" customFormat="false" ht="15" hidden="false" customHeight="true" outlineLevel="0" collapsed="false">
      <c r="B40" s="9" t="s">
        <v>47</v>
      </c>
      <c r="C40" s="8" t="s">
        <v>48</v>
      </c>
    </row>
    <row r="41" customFormat="false" ht="15" hidden="false" customHeight="true" outlineLevel="0" collapsed="false">
      <c r="B41" s="9" t="s">
        <v>49</v>
      </c>
      <c r="C41" s="8" t="s">
        <v>50</v>
      </c>
    </row>
    <row r="42" customFormat="false" ht="15" hidden="false" customHeight="true" outlineLevel="0" collapsed="false">
      <c r="B42" s="9" t="s">
        <v>51</v>
      </c>
      <c r="C42" s="8" t="s">
        <v>52</v>
      </c>
    </row>
    <row r="43" customFormat="false" ht="27.75" hidden="false" customHeight="true" outlineLevel="0" collapsed="false">
      <c r="B43" s="9" t="s">
        <v>53</v>
      </c>
      <c r="C43" s="8" t="s">
        <v>54</v>
      </c>
    </row>
    <row r="44" customFormat="false" ht="27.75" hidden="false" customHeight="true" outlineLevel="0" collapsed="false">
      <c r="B44" s="9" t="s">
        <v>55</v>
      </c>
      <c r="C44" s="8"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2" min="2" style="1" width="44"/>
    <col collapsed="false" customWidth="true" hidden="false" outlineLevel="0" max="3" min="3" style="1" width="3"/>
    <col collapsed="false" customWidth="true" hidden="false" outlineLevel="0" max="4" min="4" style="1" width="60"/>
  </cols>
  <sheetData>
    <row r="1" customFormat="false" ht="21.75" hidden="false" customHeight="true" outlineLevel="0" collapsed="false">
      <c r="A1" s="13" t="s">
        <v>57</v>
      </c>
      <c r="D1" s="14" t="s">
        <v>58</v>
      </c>
    </row>
    <row r="2" customFormat="false" ht="15" hidden="false" customHeight="true" outlineLevel="0" collapsed="false">
      <c r="A2" s="3" t="s">
        <v>59</v>
      </c>
    </row>
    <row r="4" customFormat="false" ht="15" hidden="false" customHeight="true" outlineLevel="0" collapsed="false">
      <c r="A4" s="15" t="s">
        <v>60</v>
      </c>
      <c r="B4" s="16"/>
      <c r="C4" s="16"/>
      <c r="D4" s="16"/>
    </row>
    <row r="5" customFormat="false" ht="15" hidden="false" customHeight="true" outlineLevel="0" collapsed="false">
      <c r="A5" s="17" t="s">
        <v>61</v>
      </c>
      <c r="B5" s="18" t="s">
        <v>62</v>
      </c>
      <c r="C5" s="18"/>
      <c r="D5" s="18"/>
    </row>
    <row r="6" customFormat="false" ht="15" hidden="false" customHeight="true" outlineLevel="0" collapsed="false">
      <c r="A6" s="17" t="s">
        <v>63</v>
      </c>
      <c r="B6" s="18" t="s">
        <v>64</v>
      </c>
      <c r="C6" s="18"/>
      <c r="D6" s="18"/>
    </row>
    <row r="7" customFormat="false" ht="15" hidden="false" customHeight="true" outlineLevel="0" collapsed="false">
      <c r="A7" s="17" t="s">
        <v>65</v>
      </c>
      <c r="B7" s="19" t="s">
        <v>66</v>
      </c>
      <c r="D7" s="3" t="s">
        <v>67</v>
      </c>
    </row>
    <row r="8" customFormat="false" ht="15" hidden="false" customHeight="true" outlineLevel="0" collapsed="false">
      <c r="A8" s="17" t="s">
        <v>68</v>
      </c>
      <c r="B8" s="19" t="s">
        <v>69</v>
      </c>
    </row>
    <row r="9" customFormat="false" ht="15" hidden="false" customHeight="true" outlineLevel="0" collapsed="false">
      <c r="A9" s="17" t="s">
        <v>70</v>
      </c>
      <c r="B9" s="19" t="s">
        <v>71</v>
      </c>
    </row>
    <row r="10" customFormat="false" ht="15" hidden="false" customHeight="true" outlineLevel="0" collapsed="false">
      <c r="A10" s="15" t="s">
        <v>72</v>
      </c>
      <c r="B10" s="16"/>
      <c r="C10" s="16"/>
      <c r="D10" s="16"/>
    </row>
    <row r="11" customFormat="false" ht="15" hidden="false" customHeight="true" outlineLevel="0" collapsed="false">
      <c r="A11" s="17" t="s">
        <v>73</v>
      </c>
      <c r="B11" s="19" t="s">
        <v>74</v>
      </c>
      <c r="D11" s="3" t="s">
        <v>75</v>
      </c>
    </row>
    <row r="12" customFormat="false" ht="15" hidden="false" customHeight="true" outlineLevel="0" collapsed="false">
      <c r="A12" s="17" t="s">
        <v>76</v>
      </c>
      <c r="B12" s="19" t="s">
        <v>77</v>
      </c>
      <c r="D12" s="3" t="s">
        <v>78</v>
      </c>
    </row>
    <row r="13" customFormat="false" ht="15" hidden="false" customHeight="true" outlineLevel="0" collapsed="false">
      <c r="A13" s="17" t="s">
        <v>79</v>
      </c>
      <c r="B13" s="19" t="s">
        <v>80</v>
      </c>
    </row>
    <row r="14" customFormat="false" ht="15" hidden="false" customHeight="true" outlineLevel="0" collapsed="false">
      <c r="A14" s="17" t="s">
        <v>81</v>
      </c>
      <c r="B14" s="19" t="s">
        <v>82</v>
      </c>
    </row>
    <row r="15" customFormat="false" ht="15" hidden="false" customHeight="true" outlineLevel="0" collapsed="false">
      <c r="A15" s="17" t="s">
        <v>83</v>
      </c>
      <c r="B15" s="19" t="s">
        <v>84</v>
      </c>
    </row>
    <row r="17" customFormat="false" ht="15" hidden="false" customHeight="true" outlineLevel="0" collapsed="false">
      <c r="A17" s="3" t="s">
        <v>85</v>
      </c>
      <c r="B17" s="20" t="str">
        <f aca="false">LEFT(Settings!$B$7,2)</f>
        <v>22</v>
      </c>
    </row>
    <row r="18" customFormat="false" ht="15" hidden="false" customHeight="true" outlineLevel="0" collapsed="false">
      <c r="A18" s="3" t="s">
        <v>86</v>
      </c>
      <c r="B18" s="17" t="str">
        <f aca="false">IFERROR(INDEX(Lists!$B$4:$B$40,MATCH(Settings!$B$17,Lists!$A$4:$A$40,0)),"Check GSTIN")</f>
        <v>Chhattisgarh</v>
      </c>
    </row>
  </sheetData>
  <mergeCells count="2">
    <mergeCell ref="B5:D5"/>
    <mergeCell ref="B6:D6"/>
  </mergeCells>
  <dataValidations count="1">
    <dataValidation allowBlank="true" errorStyle="stop" operator="between" showDropDown="false" showErrorMessage="false" showInputMessage="false" sqref="B12" type="list">
      <formula1>"Original for Recipient,Duplicate for Transporter,Triplicate for Supplier,Duplicate for Supplier"</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F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8"/>
    <col collapsed="false" customWidth="true" hidden="false" outlineLevel="0" max="3" min="3" style="1" width="44"/>
    <col collapsed="false" customWidth="true" hidden="false" outlineLevel="0" max="4" min="4" style="1" width="22"/>
    <col collapsed="false" customWidth="true" hidden="false" outlineLevel="0" max="5" min="5" style="1" width="8"/>
    <col collapsed="false" customWidth="true" hidden="false" outlineLevel="0" max="6" min="6" style="1" width="13"/>
  </cols>
  <sheetData>
    <row r="1" customFormat="false" ht="21.75" hidden="false" customHeight="true" outlineLevel="0" collapsed="false">
      <c r="A1" s="13" t="s">
        <v>87</v>
      </c>
      <c r="F1" s="14" t="s">
        <v>58</v>
      </c>
    </row>
    <row r="2" customFormat="false" ht="15" hidden="false" customHeight="true" outlineLevel="0" collapsed="false">
      <c r="A2" s="3" t="s">
        <v>88</v>
      </c>
    </row>
    <row r="4" customFormat="false" ht="21.75" hidden="false" customHeight="true" outlineLevel="0" collapsed="false">
      <c r="A4" s="21" t="s">
        <v>89</v>
      </c>
      <c r="B4" s="22" t="s">
        <v>65</v>
      </c>
      <c r="C4" s="22" t="s">
        <v>90</v>
      </c>
      <c r="D4" s="22" t="s">
        <v>91</v>
      </c>
      <c r="E4" s="22" t="s">
        <v>92</v>
      </c>
      <c r="F4" s="22" t="s">
        <v>93</v>
      </c>
    </row>
    <row r="5" customFormat="false" ht="15" hidden="false" customHeight="true" outlineLevel="0" collapsed="false">
      <c r="A5" s="19" t="s">
        <v>94</v>
      </c>
      <c r="B5" s="19" t="s">
        <v>95</v>
      </c>
      <c r="C5" s="19" t="s">
        <v>96</v>
      </c>
      <c r="D5" s="19"/>
      <c r="E5" s="23" t="str">
        <f aca="false">IF(A5="","",IF(B5&lt;&gt;"",LEFT(B5,2),IFERROR(INDEX(Lists!$A$4:$A$40,MATCH(D5,Lists!$B$4:$B$40,0)),"?")))</f>
        <v>22</v>
      </c>
      <c r="F5" s="17" t="str">
        <f aca="false">IF(A5="","",IF(B5&lt;&gt;"","Registered","Unregistered"))</f>
        <v>Registered</v>
      </c>
    </row>
    <row r="6" customFormat="false" ht="15" hidden="false" customHeight="true" outlineLevel="0" collapsed="false">
      <c r="A6" s="19" t="s">
        <v>97</v>
      </c>
      <c r="B6" s="19" t="s">
        <v>98</v>
      </c>
      <c r="C6" s="19" t="s">
        <v>99</v>
      </c>
      <c r="D6" s="19"/>
      <c r="E6" s="23" t="str">
        <f aca="false">IF(A6="","",IF(B6&lt;&gt;"",LEFT(B6,2),IFERROR(INDEX(Lists!$A$4:$A$40,MATCH(D6,Lists!$B$4:$B$40,0)),"?")))</f>
        <v>27</v>
      </c>
      <c r="F6" s="17" t="str">
        <f aca="false">IF(A6="","",IF(B6&lt;&gt;"","Registered","Unregistered"))</f>
        <v>Registered</v>
      </c>
    </row>
    <row r="7" customFormat="false" ht="15" hidden="false" customHeight="true" outlineLevel="0" collapsed="false">
      <c r="A7" s="19" t="s">
        <v>100</v>
      </c>
      <c r="B7" s="19" t="s">
        <v>101</v>
      </c>
      <c r="C7" s="19" t="s">
        <v>102</v>
      </c>
      <c r="D7" s="19"/>
      <c r="E7" s="23" t="str">
        <f aca="false">IF(A7="","",IF(B7&lt;&gt;"",LEFT(B7,2),IFERROR(INDEX(Lists!$A$4:$A$40,MATCH(D7,Lists!$B$4:$B$40,0)),"?")))</f>
        <v>21</v>
      </c>
      <c r="F7" s="17" t="str">
        <f aca="false">IF(A7="","",IF(B7&lt;&gt;"","Registered","Unregistered"))</f>
        <v>Registered</v>
      </c>
    </row>
    <row r="8" customFormat="false" ht="15" hidden="false" customHeight="true" outlineLevel="0" collapsed="false">
      <c r="A8" s="19" t="s">
        <v>103</v>
      </c>
      <c r="B8" s="19"/>
      <c r="C8" s="19" t="s">
        <v>104</v>
      </c>
      <c r="D8" s="19" t="s">
        <v>105</v>
      </c>
      <c r="E8" s="23" t="str">
        <f aca="false">IF(A8="","",IF(B8&lt;&gt;"",LEFT(B8,2),IFERROR(INDEX(Lists!$A$4:$A$40,MATCH(D8,Lists!$B$4:$B$40,0)),"?")))</f>
        <v>22</v>
      </c>
      <c r="F8" s="17" t="str">
        <f aca="false">IF(A8="","",IF(B8&lt;&gt;"","Registered","Unregistered"))</f>
        <v>Unregistered</v>
      </c>
    </row>
    <row r="9" customFormat="false" ht="15" hidden="false" customHeight="true" outlineLevel="0" collapsed="false">
      <c r="A9" s="19" t="s">
        <v>106</v>
      </c>
      <c r="B9" s="19"/>
      <c r="C9" s="19" t="s">
        <v>107</v>
      </c>
      <c r="D9" s="19" t="s">
        <v>108</v>
      </c>
      <c r="E9" s="23" t="str">
        <f aca="false">IF(A9="","",IF(B9&lt;&gt;"",LEFT(B9,2),IFERROR(INDEX(Lists!$A$4:$A$40,MATCH(D9,Lists!$B$4:$B$40,0)),"?")))</f>
        <v>23</v>
      </c>
      <c r="F9" s="17" t="str">
        <f aca="false">IF(A9="","",IF(B9&lt;&gt;"","Registered","Unregistered"))</f>
        <v>Unregistered</v>
      </c>
    </row>
    <row r="10" customFormat="false" ht="15" hidden="false" customHeight="true" outlineLevel="0" collapsed="false">
      <c r="A10" s="24"/>
      <c r="B10" s="24"/>
      <c r="C10" s="24"/>
      <c r="D10" s="24"/>
      <c r="E10" s="23" t="str">
        <f aca="false">IF(A10="","",IF(B10&lt;&gt;"",LEFT(B10,2),IFERROR(INDEX(Lists!$A$4:$A$40,MATCH(D10,Lists!$B$4:$B$40,0)),"?")))</f>
        <v/>
      </c>
      <c r="F10" s="17" t="str">
        <f aca="false">IF(A10="","",IF(B10&lt;&gt;"","Registered","Unregistered"))</f>
        <v/>
      </c>
    </row>
    <row r="11" customFormat="false" ht="15" hidden="false" customHeight="true" outlineLevel="0" collapsed="false">
      <c r="A11" s="24"/>
      <c r="B11" s="24"/>
      <c r="C11" s="24"/>
      <c r="D11" s="24"/>
      <c r="E11" s="23" t="str">
        <f aca="false">IF(A11="","",IF(B11&lt;&gt;"",LEFT(B11,2),IFERROR(INDEX(Lists!$A$4:$A$40,MATCH(D11,Lists!$B$4:$B$40,0)),"?")))</f>
        <v/>
      </c>
      <c r="F11" s="17" t="str">
        <f aca="false">IF(A11="","",IF(B11&lt;&gt;"","Registered","Unregistered"))</f>
        <v/>
      </c>
    </row>
    <row r="12" customFormat="false" ht="15" hidden="false" customHeight="true" outlineLevel="0" collapsed="false">
      <c r="A12" s="24"/>
      <c r="B12" s="24"/>
      <c r="C12" s="24"/>
      <c r="D12" s="24"/>
      <c r="E12" s="23" t="str">
        <f aca="false">IF(A12="","",IF(B12&lt;&gt;"",LEFT(B12,2),IFERROR(INDEX(Lists!$A$4:$A$40,MATCH(D12,Lists!$B$4:$B$40,0)),"?")))</f>
        <v/>
      </c>
      <c r="F12" s="17" t="str">
        <f aca="false">IF(A12="","",IF(B12&lt;&gt;"","Registered","Unregistered"))</f>
        <v/>
      </c>
    </row>
    <row r="13" customFormat="false" ht="15" hidden="false" customHeight="true" outlineLevel="0" collapsed="false">
      <c r="A13" s="24"/>
      <c r="B13" s="24"/>
      <c r="C13" s="24"/>
      <c r="D13" s="24"/>
      <c r="E13" s="23" t="str">
        <f aca="false">IF(A13="","",IF(B13&lt;&gt;"",LEFT(B13,2),IFERROR(INDEX(Lists!$A$4:$A$40,MATCH(D13,Lists!$B$4:$B$40,0)),"?")))</f>
        <v/>
      </c>
      <c r="F13" s="17" t="str">
        <f aca="false">IF(A13="","",IF(B13&lt;&gt;"","Registered","Unregistered"))</f>
        <v/>
      </c>
    </row>
    <row r="14" customFormat="false" ht="15" hidden="false" customHeight="true" outlineLevel="0" collapsed="false">
      <c r="A14" s="24"/>
      <c r="B14" s="24"/>
      <c r="C14" s="24"/>
      <c r="D14" s="24"/>
      <c r="E14" s="23" t="str">
        <f aca="false">IF(A14="","",IF(B14&lt;&gt;"",LEFT(B14,2),IFERROR(INDEX(Lists!$A$4:$A$40,MATCH(D14,Lists!$B$4:$B$40,0)),"?")))</f>
        <v/>
      </c>
      <c r="F14" s="17" t="str">
        <f aca="false">IF(A14="","",IF(B14&lt;&gt;"","Registered","Unregistered"))</f>
        <v/>
      </c>
    </row>
    <row r="15" customFormat="false" ht="15" hidden="false" customHeight="true" outlineLevel="0" collapsed="false">
      <c r="A15" s="24"/>
      <c r="B15" s="24"/>
      <c r="C15" s="24"/>
      <c r="D15" s="24"/>
      <c r="E15" s="23" t="str">
        <f aca="false">IF(A15="","",IF(B15&lt;&gt;"",LEFT(B15,2),IFERROR(INDEX(Lists!$A$4:$A$40,MATCH(D15,Lists!$B$4:$B$40,0)),"?")))</f>
        <v/>
      </c>
      <c r="F15" s="17" t="str">
        <f aca="false">IF(A15="","",IF(B15&lt;&gt;"","Registered","Unregistered"))</f>
        <v/>
      </c>
    </row>
    <row r="16" customFormat="false" ht="15" hidden="false" customHeight="true" outlineLevel="0" collapsed="false">
      <c r="A16" s="24"/>
      <c r="B16" s="24"/>
      <c r="C16" s="24"/>
      <c r="D16" s="24"/>
      <c r="E16" s="23" t="str">
        <f aca="false">IF(A16="","",IF(B16&lt;&gt;"",LEFT(B16,2),IFERROR(INDEX(Lists!$A$4:$A$40,MATCH(D16,Lists!$B$4:$B$40,0)),"?")))</f>
        <v/>
      </c>
      <c r="F16" s="17" t="str">
        <f aca="false">IF(A16="","",IF(B16&lt;&gt;"","Registered","Unregistered"))</f>
        <v/>
      </c>
    </row>
    <row r="17" customFormat="false" ht="15" hidden="false" customHeight="true" outlineLevel="0" collapsed="false">
      <c r="A17" s="24"/>
      <c r="B17" s="24"/>
      <c r="C17" s="24"/>
      <c r="D17" s="24"/>
      <c r="E17" s="23" t="str">
        <f aca="false">IF(A17="","",IF(B17&lt;&gt;"",LEFT(B17,2),IFERROR(INDEX(Lists!$A$4:$A$40,MATCH(D17,Lists!$B$4:$B$40,0)),"?")))</f>
        <v/>
      </c>
      <c r="F17" s="17" t="str">
        <f aca="false">IF(A17="","",IF(B17&lt;&gt;"","Registered","Unregistered"))</f>
        <v/>
      </c>
    </row>
    <row r="18" customFormat="false" ht="15" hidden="false" customHeight="true" outlineLevel="0" collapsed="false">
      <c r="A18" s="24"/>
      <c r="B18" s="24"/>
      <c r="C18" s="24"/>
      <c r="D18" s="24"/>
      <c r="E18" s="23" t="str">
        <f aca="false">IF(A18="","",IF(B18&lt;&gt;"",LEFT(B18,2),IFERROR(INDEX(Lists!$A$4:$A$40,MATCH(D18,Lists!$B$4:$B$40,0)),"?")))</f>
        <v/>
      </c>
      <c r="F18" s="17" t="str">
        <f aca="false">IF(A18="","",IF(B18&lt;&gt;"","Registered","Unregistered"))</f>
        <v/>
      </c>
    </row>
    <row r="19" customFormat="false" ht="15" hidden="false" customHeight="true" outlineLevel="0" collapsed="false">
      <c r="A19" s="24"/>
      <c r="B19" s="24"/>
      <c r="C19" s="24"/>
      <c r="D19" s="24"/>
      <c r="E19" s="23" t="str">
        <f aca="false">IF(A19="","",IF(B19&lt;&gt;"",LEFT(B19,2),IFERROR(INDEX(Lists!$A$4:$A$40,MATCH(D19,Lists!$B$4:$B$40,0)),"?")))</f>
        <v/>
      </c>
      <c r="F19" s="17" t="str">
        <f aca="false">IF(A19="","",IF(B19&lt;&gt;"","Registered","Unregistered"))</f>
        <v/>
      </c>
    </row>
    <row r="20" customFormat="false" ht="15" hidden="false" customHeight="true" outlineLevel="0" collapsed="false">
      <c r="A20" s="24"/>
      <c r="B20" s="24"/>
      <c r="C20" s="24"/>
      <c r="D20" s="24"/>
      <c r="E20" s="23" t="str">
        <f aca="false">IF(A20="","",IF(B20&lt;&gt;"",LEFT(B20,2),IFERROR(INDEX(Lists!$A$4:$A$40,MATCH(D20,Lists!$B$4:$B$40,0)),"?")))</f>
        <v/>
      </c>
      <c r="F20" s="17" t="str">
        <f aca="false">IF(A20="","",IF(B20&lt;&gt;"","Registered","Unregistered"))</f>
        <v/>
      </c>
    </row>
    <row r="21" customFormat="false" ht="15" hidden="false" customHeight="true" outlineLevel="0" collapsed="false">
      <c r="A21" s="24"/>
      <c r="B21" s="24"/>
      <c r="C21" s="24"/>
      <c r="D21" s="24"/>
      <c r="E21" s="23" t="str">
        <f aca="false">IF(A21="","",IF(B21&lt;&gt;"",LEFT(B21,2),IFERROR(INDEX(Lists!$A$4:$A$40,MATCH(D21,Lists!$B$4:$B$40,0)),"?")))</f>
        <v/>
      </c>
      <c r="F21" s="17" t="str">
        <f aca="false">IF(A21="","",IF(B21&lt;&gt;"","Registered","Unregistered"))</f>
        <v/>
      </c>
    </row>
    <row r="22" customFormat="false" ht="15" hidden="false" customHeight="true" outlineLevel="0" collapsed="false">
      <c r="A22" s="24"/>
      <c r="B22" s="24"/>
      <c r="C22" s="24"/>
      <c r="D22" s="24"/>
      <c r="E22" s="23" t="str">
        <f aca="false">IF(A22="","",IF(B22&lt;&gt;"",LEFT(B22,2),IFERROR(INDEX(Lists!$A$4:$A$40,MATCH(D22,Lists!$B$4:$B$40,0)),"?")))</f>
        <v/>
      </c>
      <c r="F22" s="17" t="str">
        <f aca="false">IF(A22="","",IF(B22&lt;&gt;"","Registered","Unregistered"))</f>
        <v/>
      </c>
    </row>
    <row r="23" customFormat="false" ht="15" hidden="false" customHeight="true" outlineLevel="0" collapsed="false">
      <c r="A23" s="24"/>
      <c r="B23" s="24"/>
      <c r="C23" s="24"/>
      <c r="D23" s="24"/>
      <c r="E23" s="23" t="str">
        <f aca="false">IF(A23="","",IF(B23&lt;&gt;"",LEFT(B23,2),IFERROR(INDEX(Lists!$A$4:$A$40,MATCH(D23,Lists!$B$4:$B$40,0)),"?")))</f>
        <v/>
      </c>
      <c r="F23" s="17" t="str">
        <f aca="false">IF(A23="","",IF(B23&lt;&gt;"","Registered","Unregistered"))</f>
        <v/>
      </c>
    </row>
    <row r="24" customFormat="false" ht="15" hidden="false" customHeight="true" outlineLevel="0" collapsed="false">
      <c r="A24" s="24"/>
      <c r="B24" s="24"/>
      <c r="C24" s="24"/>
      <c r="D24" s="24"/>
      <c r="E24" s="23" t="str">
        <f aca="false">IF(A24="","",IF(B24&lt;&gt;"",LEFT(B24,2),IFERROR(INDEX(Lists!$A$4:$A$40,MATCH(D24,Lists!$B$4:$B$40,0)),"?")))</f>
        <v/>
      </c>
      <c r="F24" s="17" t="str">
        <f aca="false">IF(A24="","",IF(B24&lt;&gt;"","Registered","Unregistered"))</f>
        <v/>
      </c>
    </row>
    <row r="25" customFormat="false" ht="15" hidden="false" customHeight="true" outlineLevel="0" collapsed="false">
      <c r="A25" s="24"/>
      <c r="B25" s="24"/>
      <c r="C25" s="24"/>
      <c r="D25" s="24"/>
      <c r="E25" s="23" t="str">
        <f aca="false">IF(A25="","",IF(B25&lt;&gt;"",LEFT(B25,2),IFERROR(INDEX(Lists!$A$4:$A$40,MATCH(D25,Lists!$B$4:$B$40,0)),"?")))</f>
        <v/>
      </c>
      <c r="F25" s="17" t="str">
        <f aca="false">IF(A25="","",IF(B25&lt;&gt;"","Registered","Unregistered"))</f>
        <v/>
      </c>
    </row>
    <row r="26" customFormat="false" ht="15" hidden="false" customHeight="true" outlineLevel="0" collapsed="false">
      <c r="A26" s="24"/>
      <c r="B26" s="24"/>
      <c r="C26" s="24"/>
      <c r="D26" s="24"/>
      <c r="E26" s="23" t="str">
        <f aca="false">IF(A26="","",IF(B26&lt;&gt;"",LEFT(B26,2),IFERROR(INDEX(Lists!$A$4:$A$40,MATCH(D26,Lists!$B$4:$B$40,0)),"?")))</f>
        <v/>
      </c>
      <c r="F26" s="17" t="str">
        <f aca="false">IF(A26="","",IF(B26&lt;&gt;"","Registered","Unregistered"))</f>
        <v/>
      </c>
    </row>
    <row r="27" customFormat="false" ht="15" hidden="false" customHeight="true" outlineLevel="0" collapsed="false">
      <c r="A27" s="24"/>
      <c r="B27" s="24"/>
      <c r="C27" s="24"/>
      <c r="D27" s="24"/>
      <c r="E27" s="23" t="str">
        <f aca="false">IF(A27="","",IF(B27&lt;&gt;"",LEFT(B27,2),IFERROR(INDEX(Lists!$A$4:$A$40,MATCH(D27,Lists!$B$4:$B$40,0)),"?")))</f>
        <v/>
      </c>
      <c r="F27" s="17" t="str">
        <f aca="false">IF(A27="","",IF(B27&lt;&gt;"","Registered","Unregistered"))</f>
        <v/>
      </c>
    </row>
    <row r="28" customFormat="false" ht="15" hidden="false" customHeight="true" outlineLevel="0" collapsed="false">
      <c r="A28" s="24"/>
      <c r="B28" s="24"/>
      <c r="C28" s="24"/>
      <c r="D28" s="24"/>
      <c r="E28" s="23" t="str">
        <f aca="false">IF(A28="","",IF(B28&lt;&gt;"",LEFT(B28,2),IFERROR(INDEX(Lists!$A$4:$A$40,MATCH(D28,Lists!$B$4:$B$40,0)),"?")))</f>
        <v/>
      </c>
      <c r="F28" s="17" t="str">
        <f aca="false">IF(A28="","",IF(B28&lt;&gt;"","Registered","Unregistered"))</f>
        <v/>
      </c>
    </row>
    <row r="29" customFormat="false" ht="15" hidden="false" customHeight="true" outlineLevel="0" collapsed="false">
      <c r="A29" s="24"/>
      <c r="B29" s="24"/>
      <c r="C29" s="24"/>
      <c r="D29" s="24"/>
      <c r="E29" s="23" t="str">
        <f aca="false">IF(A29="","",IF(B29&lt;&gt;"",LEFT(B29,2),IFERROR(INDEX(Lists!$A$4:$A$40,MATCH(D29,Lists!$B$4:$B$40,0)),"?")))</f>
        <v/>
      </c>
      <c r="F29" s="17" t="str">
        <f aca="false">IF(A29="","",IF(B29&lt;&gt;"","Registered","Unregistered"))</f>
        <v/>
      </c>
    </row>
    <row r="30" customFormat="false" ht="15" hidden="false" customHeight="true" outlineLevel="0" collapsed="false">
      <c r="A30" s="24"/>
      <c r="B30" s="24"/>
      <c r="C30" s="24"/>
      <c r="D30" s="24"/>
      <c r="E30" s="23" t="str">
        <f aca="false">IF(A30="","",IF(B30&lt;&gt;"",LEFT(B30,2),IFERROR(INDEX(Lists!$A$4:$A$40,MATCH(D30,Lists!$B$4:$B$40,0)),"?")))</f>
        <v/>
      </c>
      <c r="F30" s="17" t="str">
        <f aca="false">IF(A30="","",IF(B30&lt;&gt;"","Registered","Unregistered"))</f>
        <v/>
      </c>
    </row>
    <row r="31" customFormat="false" ht="15" hidden="false" customHeight="true" outlineLevel="0" collapsed="false">
      <c r="A31" s="24"/>
      <c r="B31" s="24"/>
      <c r="C31" s="24"/>
      <c r="D31" s="24"/>
      <c r="E31" s="23" t="str">
        <f aca="false">IF(A31="","",IF(B31&lt;&gt;"",LEFT(B31,2),IFERROR(INDEX(Lists!$A$4:$A$40,MATCH(D31,Lists!$B$4:$B$40,0)),"?")))</f>
        <v/>
      </c>
      <c r="F31" s="17" t="str">
        <f aca="false">IF(A31="","",IF(B31&lt;&gt;"","Registered","Unregistered"))</f>
        <v/>
      </c>
    </row>
    <row r="32" customFormat="false" ht="15" hidden="false" customHeight="true" outlineLevel="0" collapsed="false">
      <c r="A32" s="24"/>
      <c r="B32" s="24"/>
      <c r="C32" s="24"/>
      <c r="D32" s="24"/>
      <c r="E32" s="23" t="str">
        <f aca="false">IF(A32="","",IF(B32&lt;&gt;"",LEFT(B32,2),IFERROR(INDEX(Lists!$A$4:$A$40,MATCH(D32,Lists!$B$4:$B$40,0)),"?")))</f>
        <v/>
      </c>
      <c r="F32" s="17" t="str">
        <f aca="false">IF(A32="","",IF(B32&lt;&gt;"","Registered","Unregistered"))</f>
        <v/>
      </c>
    </row>
    <row r="33" customFormat="false" ht="15" hidden="false" customHeight="true" outlineLevel="0" collapsed="false">
      <c r="A33" s="24"/>
      <c r="B33" s="24"/>
      <c r="C33" s="24"/>
      <c r="D33" s="24"/>
      <c r="E33" s="23" t="str">
        <f aca="false">IF(A33="","",IF(B33&lt;&gt;"",LEFT(B33,2),IFERROR(INDEX(Lists!$A$4:$A$40,MATCH(D33,Lists!$B$4:$B$40,0)),"?")))</f>
        <v/>
      </c>
      <c r="F33" s="17" t="str">
        <f aca="false">IF(A33="","",IF(B33&lt;&gt;"","Registered","Unregistered"))</f>
        <v/>
      </c>
    </row>
    <row r="34" customFormat="false" ht="15" hidden="false" customHeight="true" outlineLevel="0" collapsed="false">
      <c r="A34" s="24"/>
      <c r="B34" s="24"/>
      <c r="C34" s="24"/>
      <c r="D34" s="24"/>
      <c r="E34" s="23" t="str">
        <f aca="false">IF(A34="","",IF(B34&lt;&gt;"",LEFT(B34,2),IFERROR(INDEX(Lists!$A$4:$A$40,MATCH(D34,Lists!$B$4:$B$40,0)),"?")))</f>
        <v/>
      </c>
      <c r="F34" s="17" t="str">
        <f aca="false">IF(A34="","",IF(B34&lt;&gt;"","Registered","Unregistered"))</f>
        <v/>
      </c>
    </row>
    <row r="35" customFormat="false" ht="15" hidden="false" customHeight="true" outlineLevel="0" collapsed="false">
      <c r="A35" s="24"/>
      <c r="B35" s="24"/>
      <c r="C35" s="24"/>
      <c r="D35" s="24"/>
      <c r="E35" s="23" t="str">
        <f aca="false">IF(A35="","",IF(B35&lt;&gt;"",LEFT(B35,2),IFERROR(INDEX(Lists!$A$4:$A$40,MATCH(D35,Lists!$B$4:$B$40,0)),"?")))</f>
        <v/>
      </c>
      <c r="F35" s="17" t="str">
        <f aca="false">IF(A35="","",IF(B35&lt;&gt;"","Registered","Unregistered"))</f>
        <v/>
      </c>
    </row>
    <row r="36" customFormat="false" ht="15" hidden="false" customHeight="true" outlineLevel="0" collapsed="false">
      <c r="A36" s="24"/>
      <c r="B36" s="24"/>
      <c r="C36" s="24"/>
      <c r="D36" s="24"/>
      <c r="E36" s="23" t="str">
        <f aca="false">IF(A36="","",IF(B36&lt;&gt;"",LEFT(B36,2),IFERROR(INDEX(Lists!$A$4:$A$40,MATCH(D36,Lists!$B$4:$B$40,0)),"?")))</f>
        <v/>
      </c>
      <c r="F36" s="17" t="str">
        <f aca="false">IF(A36="","",IF(B36&lt;&gt;"","Registered","Unregistered"))</f>
        <v/>
      </c>
    </row>
    <row r="37" customFormat="false" ht="15" hidden="false" customHeight="true" outlineLevel="0" collapsed="false">
      <c r="A37" s="24"/>
      <c r="B37" s="24"/>
      <c r="C37" s="24"/>
      <c r="D37" s="24"/>
      <c r="E37" s="23" t="str">
        <f aca="false">IF(A37="","",IF(B37&lt;&gt;"",LEFT(B37,2),IFERROR(INDEX(Lists!$A$4:$A$40,MATCH(D37,Lists!$B$4:$B$40,0)),"?")))</f>
        <v/>
      </c>
      <c r="F37" s="17" t="str">
        <f aca="false">IF(A37="","",IF(B37&lt;&gt;"","Registered","Unregistered"))</f>
        <v/>
      </c>
    </row>
    <row r="38" customFormat="false" ht="15" hidden="false" customHeight="true" outlineLevel="0" collapsed="false">
      <c r="A38" s="24"/>
      <c r="B38" s="24"/>
      <c r="C38" s="24"/>
      <c r="D38" s="24"/>
      <c r="E38" s="23" t="str">
        <f aca="false">IF(A38="","",IF(B38&lt;&gt;"",LEFT(B38,2),IFERROR(INDEX(Lists!$A$4:$A$40,MATCH(D38,Lists!$B$4:$B$40,0)),"?")))</f>
        <v/>
      </c>
      <c r="F38" s="17" t="str">
        <f aca="false">IF(A38="","",IF(B38&lt;&gt;"","Registered","Unregistered"))</f>
        <v/>
      </c>
    </row>
    <row r="39" customFormat="false" ht="15" hidden="false" customHeight="true" outlineLevel="0" collapsed="false">
      <c r="A39" s="24"/>
      <c r="B39" s="24"/>
      <c r="C39" s="24"/>
      <c r="D39" s="24"/>
      <c r="E39" s="23" t="str">
        <f aca="false">IF(A39="","",IF(B39&lt;&gt;"",LEFT(B39,2),IFERROR(INDEX(Lists!$A$4:$A$40,MATCH(D39,Lists!$B$4:$B$40,0)),"?")))</f>
        <v/>
      </c>
      <c r="F39" s="17" t="str">
        <f aca="false">IF(A39="","",IF(B39&lt;&gt;"","Registered","Unregistered"))</f>
        <v/>
      </c>
    </row>
    <row r="40" customFormat="false" ht="15" hidden="false" customHeight="true" outlineLevel="0" collapsed="false">
      <c r="A40" s="24"/>
      <c r="B40" s="24"/>
      <c r="C40" s="24"/>
      <c r="D40" s="24"/>
      <c r="E40" s="23" t="str">
        <f aca="false">IF(A40="","",IF(B40&lt;&gt;"",LEFT(B40,2),IFERROR(INDEX(Lists!$A$4:$A$40,MATCH(D40,Lists!$B$4:$B$40,0)),"?")))</f>
        <v/>
      </c>
      <c r="F40" s="17" t="str">
        <f aca="false">IF(A40="","",IF(B40&lt;&gt;"","Registered","Unregistered"))</f>
        <v/>
      </c>
    </row>
    <row r="41" customFormat="false" ht="15" hidden="false" customHeight="true" outlineLevel="0" collapsed="false">
      <c r="A41" s="24"/>
      <c r="B41" s="24"/>
      <c r="C41" s="24"/>
      <c r="D41" s="24"/>
      <c r="E41" s="23" t="str">
        <f aca="false">IF(A41="","",IF(B41&lt;&gt;"",LEFT(B41,2),IFERROR(INDEX(Lists!$A$4:$A$40,MATCH(D41,Lists!$B$4:$B$40,0)),"?")))</f>
        <v/>
      </c>
      <c r="F41" s="17" t="str">
        <f aca="false">IF(A41="","",IF(B41&lt;&gt;"","Registered","Unregistered"))</f>
        <v/>
      </c>
    </row>
    <row r="42" customFormat="false" ht="15" hidden="false" customHeight="true" outlineLevel="0" collapsed="false">
      <c r="A42" s="24"/>
      <c r="B42" s="24"/>
      <c r="C42" s="24"/>
      <c r="D42" s="24"/>
      <c r="E42" s="23" t="str">
        <f aca="false">IF(A42="","",IF(B42&lt;&gt;"",LEFT(B42,2),IFERROR(INDEX(Lists!$A$4:$A$40,MATCH(D42,Lists!$B$4:$B$40,0)),"?")))</f>
        <v/>
      </c>
      <c r="F42" s="17" t="str">
        <f aca="false">IF(A42="","",IF(B42&lt;&gt;"","Registered","Unregistered"))</f>
        <v/>
      </c>
    </row>
    <row r="43" customFormat="false" ht="15" hidden="false" customHeight="true" outlineLevel="0" collapsed="false">
      <c r="A43" s="24"/>
      <c r="B43" s="24"/>
      <c r="C43" s="24"/>
      <c r="D43" s="24"/>
      <c r="E43" s="23" t="str">
        <f aca="false">IF(A43="","",IF(B43&lt;&gt;"",LEFT(B43,2),IFERROR(INDEX(Lists!$A$4:$A$40,MATCH(D43,Lists!$B$4:$B$40,0)),"?")))</f>
        <v/>
      </c>
      <c r="F43" s="17" t="str">
        <f aca="false">IF(A43="","",IF(B43&lt;&gt;"","Registered","Unregistered"))</f>
        <v/>
      </c>
    </row>
    <row r="44" customFormat="false" ht="15" hidden="false" customHeight="true" outlineLevel="0" collapsed="false">
      <c r="A44" s="24"/>
      <c r="B44" s="24"/>
      <c r="C44" s="24"/>
      <c r="D44" s="24"/>
      <c r="E44" s="23" t="str">
        <f aca="false">IF(A44="","",IF(B44&lt;&gt;"",LEFT(B44,2),IFERROR(INDEX(Lists!$A$4:$A$40,MATCH(D44,Lists!$B$4:$B$40,0)),"?")))</f>
        <v/>
      </c>
      <c r="F44" s="17" t="str">
        <f aca="false">IF(A44="","",IF(B44&lt;&gt;"","Registered","Unregistered"))</f>
        <v/>
      </c>
    </row>
    <row r="45" customFormat="false" ht="15" hidden="false" customHeight="true" outlineLevel="0" collapsed="false">
      <c r="A45" s="24"/>
      <c r="B45" s="24"/>
      <c r="C45" s="24"/>
      <c r="D45" s="24"/>
      <c r="E45" s="23" t="str">
        <f aca="false">IF(A45="","",IF(B45&lt;&gt;"",LEFT(B45,2),IFERROR(INDEX(Lists!$A$4:$A$40,MATCH(D45,Lists!$B$4:$B$40,0)),"?")))</f>
        <v/>
      </c>
      <c r="F45" s="17" t="str">
        <f aca="false">IF(A45="","",IF(B45&lt;&gt;"","Registered","Unregistered"))</f>
        <v/>
      </c>
    </row>
    <row r="46" customFormat="false" ht="15" hidden="false" customHeight="true" outlineLevel="0" collapsed="false">
      <c r="A46" s="24"/>
      <c r="B46" s="24"/>
      <c r="C46" s="24"/>
      <c r="D46" s="24"/>
      <c r="E46" s="23" t="str">
        <f aca="false">IF(A46="","",IF(B46&lt;&gt;"",LEFT(B46,2),IFERROR(INDEX(Lists!$A$4:$A$40,MATCH(D46,Lists!$B$4:$B$40,0)),"?")))</f>
        <v/>
      </c>
      <c r="F46" s="17" t="str">
        <f aca="false">IF(A46="","",IF(B46&lt;&gt;"","Registered","Unregistered"))</f>
        <v/>
      </c>
    </row>
    <row r="47" customFormat="false" ht="15" hidden="false" customHeight="true" outlineLevel="0" collapsed="false">
      <c r="A47" s="24"/>
      <c r="B47" s="24"/>
      <c r="C47" s="24"/>
      <c r="D47" s="24"/>
      <c r="E47" s="23" t="str">
        <f aca="false">IF(A47="","",IF(B47&lt;&gt;"",LEFT(B47,2),IFERROR(INDEX(Lists!$A$4:$A$40,MATCH(D47,Lists!$B$4:$B$40,0)),"?")))</f>
        <v/>
      </c>
      <c r="F47" s="17" t="str">
        <f aca="false">IF(A47="","",IF(B47&lt;&gt;"","Registered","Unregistered"))</f>
        <v/>
      </c>
    </row>
    <row r="48" customFormat="false" ht="15" hidden="false" customHeight="true" outlineLevel="0" collapsed="false">
      <c r="A48" s="24"/>
      <c r="B48" s="24"/>
      <c r="C48" s="24"/>
      <c r="D48" s="24"/>
      <c r="E48" s="23" t="str">
        <f aca="false">IF(A48="","",IF(B48&lt;&gt;"",LEFT(B48,2),IFERROR(INDEX(Lists!$A$4:$A$40,MATCH(D48,Lists!$B$4:$B$40,0)),"?")))</f>
        <v/>
      </c>
      <c r="F48" s="17" t="str">
        <f aca="false">IF(A48="","",IF(B48&lt;&gt;"","Registered","Unregistered"))</f>
        <v/>
      </c>
    </row>
    <row r="49" customFormat="false" ht="15" hidden="false" customHeight="true" outlineLevel="0" collapsed="false">
      <c r="A49" s="24"/>
      <c r="B49" s="24"/>
      <c r="C49" s="24"/>
      <c r="D49" s="24"/>
      <c r="E49" s="23" t="str">
        <f aca="false">IF(A49="","",IF(B49&lt;&gt;"",LEFT(B49,2),IFERROR(INDEX(Lists!$A$4:$A$40,MATCH(D49,Lists!$B$4:$B$40,0)),"?")))</f>
        <v/>
      </c>
      <c r="F49" s="17" t="str">
        <f aca="false">IF(A49="","",IF(B49&lt;&gt;"","Registered","Unregistered"))</f>
        <v/>
      </c>
    </row>
    <row r="50" customFormat="false" ht="15" hidden="false" customHeight="true" outlineLevel="0" collapsed="false">
      <c r="A50" s="24"/>
      <c r="B50" s="24"/>
      <c r="C50" s="24"/>
      <c r="D50" s="24"/>
      <c r="E50" s="23" t="str">
        <f aca="false">IF(A50="","",IF(B50&lt;&gt;"",LEFT(B50,2),IFERROR(INDEX(Lists!$A$4:$A$40,MATCH(D50,Lists!$B$4:$B$40,0)),"?")))</f>
        <v/>
      </c>
      <c r="F50" s="17" t="str">
        <f aca="false">IF(A50="","",IF(B50&lt;&gt;"","Registered","Unregistered"))</f>
        <v/>
      </c>
    </row>
    <row r="51" customFormat="false" ht="15" hidden="false" customHeight="true" outlineLevel="0" collapsed="false">
      <c r="A51" s="24"/>
      <c r="B51" s="24"/>
      <c r="C51" s="24"/>
      <c r="D51" s="24"/>
      <c r="E51" s="23" t="str">
        <f aca="false">IF(A51="","",IF(B51&lt;&gt;"",LEFT(B51,2),IFERROR(INDEX(Lists!$A$4:$A$40,MATCH(D51,Lists!$B$4:$B$40,0)),"?")))</f>
        <v/>
      </c>
      <c r="F51" s="17" t="str">
        <f aca="false">IF(A51="","",IF(B51&lt;&gt;"","Registered","Unregistered"))</f>
        <v/>
      </c>
    </row>
    <row r="52" customFormat="false" ht="15" hidden="false" customHeight="true" outlineLevel="0" collapsed="false">
      <c r="A52" s="24"/>
      <c r="B52" s="24"/>
      <c r="C52" s="24"/>
      <c r="D52" s="24"/>
      <c r="E52" s="23" t="str">
        <f aca="false">IF(A52="","",IF(B52&lt;&gt;"",LEFT(B52,2),IFERROR(INDEX(Lists!$A$4:$A$40,MATCH(D52,Lists!$B$4:$B$40,0)),"?")))</f>
        <v/>
      </c>
      <c r="F52" s="17" t="str">
        <f aca="false">IF(A52="","",IF(B52&lt;&gt;"","Registered","Unregistered"))</f>
        <v/>
      </c>
    </row>
    <row r="53" customFormat="false" ht="15" hidden="false" customHeight="true" outlineLevel="0" collapsed="false">
      <c r="A53" s="24"/>
      <c r="B53" s="24"/>
      <c r="C53" s="24"/>
      <c r="D53" s="24"/>
      <c r="E53" s="23" t="str">
        <f aca="false">IF(A53="","",IF(B53&lt;&gt;"",LEFT(B53,2),IFERROR(INDEX(Lists!$A$4:$A$40,MATCH(D53,Lists!$B$4:$B$40,0)),"?")))</f>
        <v/>
      </c>
      <c r="F53" s="17" t="str">
        <f aca="false">IF(A53="","",IF(B53&lt;&gt;"","Registered","Unregistered"))</f>
        <v/>
      </c>
    </row>
    <row r="54" customFormat="false" ht="15" hidden="false" customHeight="true" outlineLevel="0" collapsed="false">
      <c r="A54" s="24"/>
      <c r="B54" s="24"/>
      <c r="C54" s="24"/>
      <c r="D54" s="24"/>
      <c r="E54" s="23" t="str">
        <f aca="false">IF(A54="","",IF(B54&lt;&gt;"",LEFT(B54,2),IFERROR(INDEX(Lists!$A$4:$A$40,MATCH(D54,Lists!$B$4:$B$40,0)),"?")))</f>
        <v/>
      </c>
      <c r="F54" s="17" t="str">
        <f aca="false">IF(A54="","",IF(B54&lt;&gt;"","Registered","Unregistered"))</f>
        <v/>
      </c>
    </row>
    <row r="55" customFormat="false" ht="15" hidden="false" customHeight="true" outlineLevel="0" collapsed="false">
      <c r="A55" s="24"/>
      <c r="B55" s="24"/>
      <c r="C55" s="24"/>
      <c r="D55" s="24"/>
      <c r="E55" s="23" t="str">
        <f aca="false">IF(A55="","",IF(B55&lt;&gt;"",LEFT(B55,2),IFERROR(INDEX(Lists!$A$4:$A$40,MATCH(D55,Lists!$B$4:$B$40,0)),"?")))</f>
        <v/>
      </c>
      <c r="F55" s="17" t="str">
        <f aca="false">IF(A55="","",IF(B55&lt;&gt;"","Registered","Unregistered"))</f>
        <v/>
      </c>
    </row>
    <row r="56" customFormat="false" ht="15" hidden="false" customHeight="true" outlineLevel="0" collapsed="false">
      <c r="A56" s="24"/>
      <c r="B56" s="24"/>
      <c r="C56" s="24"/>
      <c r="D56" s="24"/>
      <c r="E56" s="23" t="str">
        <f aca="false">IF(A56="","",IF(B56&lt;&gt;"",LEFT(B56,2),IFERROR(INDEX(Lists!$A$4:$A$40,MATCH(D56,Lists!$B$4:$B$40,0)),"?")))</f>
        <v/>
      </c>
      <c r="F56" s="17" t="str">
        <f aca="false">IF(A56="","",IF(B56&lt;&gt;"","Registered","Unregistered"))</f>
        <v/>
      </c>
    </row>
    <row r="57" customFormat="false" ht="15" hidden="false" customHeight="true" outlineLevel="0" collapsed="false">
      <c r="A57" s="24"/>
      <c r="B57" s="24"/>
      <c r="C57" s="24"/>
      <c r="D57" s="24"/>
      <c r="E57" s="23" t="str">
        <f aca="false">IF(A57="","",IF(B57&lt;&gt;"",LEFT(B57,2),IFERROR(INDEX(Lists!$A$4:$A$40,MATCH(D57,Lists!$B$4:$B$40,0)),"?")))</f>
        <v/>
      </c>
      <c r="F57" s="17" t="str">
        <f aca="false">IF(A57="","",IF(B57&lt;&gt;"","Registered","Unregistered"))</f>
        <v/>
      </c>
    </row>
    <row r="58" customFormat="false" ht="15" hidden="false" customHeight="true" outlineLevel="0" collapsed="false">
      <c r="A58" s="24"/>
      <c r="B58" s="24"/>
      <c r="C58" s="24"/>
      <c r="D58" s="24"/>
      <c r="E58" s="23" t="str">
        <f aca="false">IF(A58="","",IF(B58&lt;&gt;"",LEFT(B58,2),IFERROR(INDEX(Lists!$A$4:$A$40,MATCH(D58,Lists!$B$4:$B$40,0)),"?")))</f>
        <v/>
      </c>
      <c r="F58" s="17" t="str">
        <f aca="false">IF(A58="","",IF(B58&lt;&gt;"","Registered","Unregistered"))</f>
        <v/>
      </c>
    </row>
    <row r="59" customFormat="false" ht="15" hidden="false" customHeight="true" outlineLevel="0" collapsed="false">
      <c r="A59" s="24"/>
      <c r="B59" s="24"/>
      <c r="C59" s="24"/>
      <c r="D59" s="24"/>
      <c r="E59" s="23" t="str">
        <f aca="false">IF(A59="","",IF(B59&lt;&gt;"",LEFT(B59,2),IFERROR(INDEX(Lists!$A$4:$A$40,MATCH(D59,Lists!$B$4:$B$40,0)),"?")))</f>
        <v/>
      </c>
      <c r="F59" s="17" t="str">
        <f aca="false">IF(A59="","",IF(B59&lt;&gt;"","Registered","Unregistered"))</f>
        <v/>
      </c>
    </row>
    <row r="60" customFormat="false" ht="15" hidden="false" customHeight="true" outlineLevel="0" collapsed="false">
      <c r="A60" s="24"/>
      <c r="B60" s="24"/>
      <c r="C60" s="24"/>
      <c r="D60" s="24"/>
      <c r="E60" s="23" t="str">
        <f aca="false">IF(A60="","",IF(B60&lt;&gt;"",LEFT(B60,2),IFERROR(INDEX(Lists!$A$4:$A$40,MATCH(D60,Lists!$B$4:$B$40,0)),"?")))</f>
        <v/>
      </c>
      <c r="F60" s="17" t="str">
        <f aca="false">IF(A60="","",IF(B60&lt;&gt;"","Registered","Unregistered"))</f>
        <v/>
      </c>
    </row>
    <row r="61" customFormat="false" ht="15" hidden="false" customHeight="true" outlineLevel="0" collapsed="false">
      <c r="A61" s="24"/>
      <c r="B61" s="24"/>
      <c r="C61" s="24"/>
      <c r="D61" s="24"/>
      <c r="E61" s="23" t="str">
        <f aca="false">IF(A61="","",IF(B61&lt;&gt;"",LEFT(B61,2),IFERROR(INDEX(Lists!$A$4:$A$40,MATCH(D61,Lists!$B$4:$B$40,0)),"?")))</f>
        <v/>
      </c>
      <c r="F61" s="17" t="str">
        <f aca="false">IF(A61="","",IF(B61&lt;&gt;"","Registered","Unregistered"))</f>
        <v/>
      </c>
    </row>
    <row r="62" customFormat="false" ht="15" hidden="false" customHeight="true" outlineLevel="0" collapsed="false">
      <c r="A62" s="24"/>
      <c r="B62" s="24"/>
      <c r="C62" s="24"/>
      <c r="D62" s="24"/>
      <c r="E62" s="23" t="str">
        <f aca="false">IF(A62="","",IF(B62&lt;&gt;"",LEFT(B62,2),IFERROR(INDEX(Lists!$A$4:$A$40,MATCH(D62,Lists!$B$4:$B$40,0)),"?")))</f>
        <v/>
      </c>
      <c r="F62" s="17" t="str">
        <f aca="false">IF(A62="","",IF(B62&lt;&gt;"","Registered","Unregistered"))</f>
        <v/>
      </c>
    </row>
    <row r="63" customFormat="false" ht="15" hidden="false" customHeight="true" outlineLevel="0" collapsed="false">
      <c r="A63" s="24"/>
      <c r="B63" s="24"/>
      <c r="C63" s="24"/>
      <c r="D63" s="24"/>
      <c r="E63" s="23" t="str">
        <f aca="false">IF(A63="","",IF(B63&lt;&gt;"",LEFT(B63,2),IFERROR(INDEX(Lists!$A$4:$A$40,MATCH(D63,Lists!$B$4:$B$40,0)),"?")))</f>
        <v/>
      </c>
      <c r="F63" s="17" t="str">
        <f aca="false">IF(A63="","",IF(B63&lt;&gt;"","Registered","Unregistered"))</f>
        <v/>
      </c>
    </row>
    <row r="64" customFormat="false" ht="15" hidden="false" customHeight="true" outlineLevel="0" collapsed="false">
      <c r="A64" s="24"/>
      <c r="B64" s="24"/>
      <c r="C64" s="24"/>
      <c r="D64" s="24"/>
      <c r="E64" s="23" t="str">
        <f aca="false">IF(A64="","",IF(B64&lt;&gt;"",LEFT(B64,2),IFERROR(INDEX(Lists!$A$4:$A$40,MATCH(D64,Lists!$B$4:$B$40,0)),"?")))</f>
        <v/>
      </c>
      <c r="F64" s="17" t="str">
        <f aca="false">IF(A64="","",IF(B64&lt;&gt;"","Registered","Unregistered"))</f>
        <v/>
      </c>
    </row>
    <row r="65" customFormat="false" ht="15" hidden="false" customHeight="true" outlineLevel="0" collapsed="false">
      <c r="A65" s="24"/>
      <c r="B65" s="24"/>
      <c r="C65" s="24"/>
      <c r="D65" s="24"/>
      <c r="E65" s="23" t="str">
        <f aca="false">IF(A65="","",IF(B65&lt;&gt;"",LEFT(B65,2),IFERROR(INDEX(Lists!$A$4:$A$40,MATCH(D65,Lists!$B$4:$B$40,0)),"?")))</f>
        <v/>
      </c>
      <c r="F65" s="17" t="str">
        <f aca="false">IF(A65="","",IF(B65&lt;&gt;"","Registered","Unregistered"))</f>
        <v/>
      </c>
    </row>
    <row r="66" customFormat="false" ht="15" hidden="false" customHeight="true" outlineLevel="0" collapsed="false">
      <c r="A66" s="24"/>
      <c r="B66" s="24"/>
      <c r="C66" s="24"/>
      <c r="D66" s="24"/>
      <c r="E66" s="23" t="str">
        <f aca="false">IF(A66="","",IF(B66&lt;&gt;"",LEFT(B66,2),IFERROR(INDEX(Lists!$A$4:$A$40,MATCH(D66,Lists!$B$4:$B$40,0)),"?")))</f>
        <v/>
      </c>
      <c r="F66" s="17" t="str">
        <f aca="false">IF(A66="","",IF(B66&lt;&gt;"","Registered","Unregistered"))</f>
        <v/>
      </c>
    </row>
    <row r="67" customFormat="false" ht="15" hidden="false" customHeight="true" outlineLevel="0" collapsed="false">
      <c r="A67" s="24"/>
      <c r="B67" s="24"/>
      <c r="C67" s="24"/>
      <c r="D67" s="24"/>
      <c r="E67" s="23" t="str">
        <f aca="false">IF(A67="","",IF(B67&lt;&gt;"",LEFT(B67,2),IFERROR(INDEX(Lists!$A$4:$A$40,MATCH(D67,Lists!$B$4:$B$40,0)),"?")))</f>
        <v/>
      </c>
      <c r="F67" s="17" t="str">
        <f aca="false">IF(A67="","",IF(B67&lt;&gt;"","Registered","Unregistered"))</f>
        <v/>
      </c>
    </row>
    <row r="68" customFormat="false" ht="15" hidden="false" customHeight="true" outlineLevel="0" collapsed="false">
      <c r="A68" s="24"/>
      <c r="B68" s="24"/>
      <c r="C68" s="24"/>
      <c r="D68" s="24"/>
      <c r="E68" s="23" t="str">
        <f aca="false">IF(A68="","",IF(B68&lt;&gt;"",LEFT(B68,2),IFERROR(INDEX(Lists!$A$4:$A$40,MATCH(D68,Lists!$B$4:$B$40,0)),"?")))</f>
        <v/>
      </c>
      <c r="F68" s="17" t="str">
        <f aca="false">IF(A68="","",IF(B68&lt;&gt;"","Registered","Unregistered"))</f>
        <v/>
      </c>
    </row>
    <row r="69" customFormat="false" ht="15" hidden="false" customHeight="true" outlineLevel="0" collapsed="false">
      <c r="A69" s="24"/>
      <c r="B69" s="24"/>
      <c r="C69" s="24"/>
      <c r="D69" s="24"/>
      <c r="E69" s="23" t="str">
        <f aca="false">IF(A69="","",IF(B69&lt;&gt;"",LEFT(B69,2),IFERROR(INDEX(Lists!$A$4:$A$40,MATCH(D69,Lists!$B$4:$B$40,0)),"?")))</f>
        <v/>
      </c>
      <c r="F69" s="17" t="str">
        <f aca="false">IF(A69="","",IF(B69&lt;&gt;"","Registered","Unregistered"))</f>
        <v/>
      </c>
    </row>
    <row r="70" customFormat="false" ht="15" hidden="false" customHeight="true" outlineLevel="0" collapsed="false">
      <c r="A70" s="24"/>
      <c r="B70" s="24"/>
      <c r="C70" s="24"/>
      <c r="D70" s="24"/>
      <c r="E70" s="23" t="str">
        <f aca="false">IF(A70="","",IF(B70&lt;&gt;"",LEFT(B70,2),IFERROR(INDEX(Lists!$A$4:$A$40,MATCH(D70,Lists!$B$4:$B$40,0)),"?")))</f>
        <v/>
      </c>
      <c r="F70" s="17" t="str">
        <f aca="false">IF(A70="","",IF(B70&lt;&gt;"","Registered","Unregistered"))</f>
        <v/>
      </c>
    </row>
    <row r="71" customFormat="false" ht="15" hidden="false" customHeight="true" outlineLevel="0" collapsed="false">
      <c r="A71" s="24"/>
      <c r="B71" s="24"/>
      <c r="C71" s="24"/>
      <c r="D71" s="24"/>
      <c r="E71" s="23" t="str">
        <f aca="false">IF(A71="","",IF(B71&lt;&gt;"",LEFT(B71,2),IFERROR(INDEX(Lists!$A$4:$A$40,MATCH(D71,Lists!$B$4:$B$40,0)),"?")))</f>
        <v/>
      </c>
      <c r="F71" s="17" t="str">
        <f aca="false">IF(A71="","",IF(B71&lt;&gt;"","Registered","Unregistered"))</f>
        <v/>
      </c>
    </row>
    <row r="72" customFormat="false" ht="15" hidden="false" customHeight="true" outlineLevel="0" collapsed="false">
      <c r="A72" s="24"/>
      <c r="B72" s="24"/>
      <c r="C72" s="24"/>
      <c r="D72" s="24"/>
      <c r="E72" s="23" t="str">
        <f aca="false">IF(A72="","",IF(B72&lt;&gt;"",LEFT(B72,2),IFERROR(INDEX(Lists!$A$4:$A$40,MATCH(D72,Lists!$B$4:$B$40,0)),"?")))</f>
        <v/>
      </c>
      <c r="F72" s="17" t="str">
        <f aca="false">IF(A72="","",IF(B72&lt;&gt;"","Registered","Unregistered"))</f>
        <v/>
      </c>
    </row>
    <row r="73" customFormat="false" ht="15" hidden="false" customHeight="true" outlineLevel="0" collapsed="false">
      <c r="A73" s="24"/>
      <c r="B73" s="24"/>
      <c r="C73" s="24"/>
      <c r="D73" s="24"/>
      <c r="E73" s="23" t="str">
        <f aca="false">IF(A73="","",IF(B73&lt;&gt;"",LEFT(B73,2),IFERROR(INDEX(Lists!$A$4:$A$40,MATCH(D73,Lists!$B$4:$B$40,0)),"?")))</f>
        <v/>
      </c>
      <c r="F73" s="17" t="str">
        <f aca="false">IF(A73="","",IF(B73&lt;&gt;"","Registered","Unregistered"))</f>
        <v/>
      </c>
    </row>
    <row r="74" customFormat="false" ht="15" hidden="false" customHeight="true" outlineLevel="0" collapsed="false">
      <c r="A74" s="24"/>
      <c r="B74" s="24"/>
      <c r="C74" s="24"/>
      <c r="D74" s="24"/>
      <c r="E74" s="23" t="str">
        <f aca="false">IF(A74="","",IF(B74&lt;&gt;"",LEFT(B74,2),IFERROR(INDEX(Lists!$A$4:$A$40,MATCH(D74,Lists!$B$4:$B$40,0)),"?")))</f>
        <v/>
      </c>
      <c r="F74" s="17" t="str">
        <f aca="false">IF(A74="","",IF(B74&lt;&gt;"","Registered","Unregistered"))</f>
        <v/>
      </c>
    </row>
    <row r="75" customFormat="false" ht="15" hidden="false" customHeight="true" outlineLevel="0" collapsed="false">
      <c r="A75" s="24"/>
      <c r="B75" s="24"/>
      <c r="C75" s="24"/>
      <c r="D75" s="24"/>
      <c r="E75" s="23" t="str">
        <f aca="false">IF(A75="","",IF(B75&lt;&gt;"",LEFT(B75,2),IFERROR(INDEX(Lists!$A$4:$A$40,MATCH(D75,Lists!$B$4:$B$40,0)),"?")))</f>
        <v/>
      </c>
      <c r="F75" s="17" t="str">
        <f aca="false">IF(A75="","",IF(B75&lt;&gt;"","Registered","Unregistered"))</f>
        <v/>
      </c>
    </row>
    <row r="76" customFormat="false" ht="15" hidden="false" customHeight="true" outlineLevel="0" collapsed="false">
      <c r="A76" s="24"/>
      <c r="B76" s="24"/>
      <c r="C76" s="24"/>
      <c r="D76" s="24"/>
      <c r="E76" s="23" t="str">
        <f aca="false">IF(A76="","",IF(B76&lt;&gt;"",LEFT(B76,2),IFERROR(INDEX(Lists!$A$4:$A$40,MATCH(D76,Lists!$B$4:$B$40,0)),"?")))</f>
        <v/>
      </c>
      <c r="F76" s="17" t="str">
        <f aca="false">IF(A76="","",IF(B76&lt;&gt;"","Registered","Unregistered"))</f>
        <v/>
      </c>
    </row>
    <row r="77" customFormat="false" ht="15" hidden="false" customHeight="true" outlineLevel="0" collapsed="false">
      <c r="A77" s="24"/>
      <c r="B77" s="24"/>
      <c r="C77" s="24"/>
      <c r="D77" s="24"/>
      <c r="E77" s="23" t="str">
        <f aca="false">IF(A77="","",IF(B77&lt;&gt;"",LEFT(B77,2),IFERROR(INDEX(Lists!$A$4:$A$40,MATCH(D77,Lists!$B$4:$B$40,0)),"?")))</f>
        <v/>
      </c>
      <c r="F77" s="17" t="str">
        <f aca="false">IF(A77="","",IF(B77&lt;&gt;"","Registered","Unregistered"))</f>
        <v/>
      </c>
    </row>
    <row r="78" customFormat="false" ht="15" hidden="false" customHeight="true" outlineLevel="0" collapsed="false">
      <c r="A78" s="24"/>
      <c r="B78" s="24"/>
      <c r="C78" s="24"/>
      <c r="D78" s="24"/>
      <c r="E78" s="23" t="str">
        <f aca="false">IF(A78="","",IF(B78&lt;&gt;"",LEFT(B78,2),IFERROR(INDEX(Lists!$A$4:$A$40,MATCH(D78,Lists!$B$4:$B$40,0)),"?")))</f>
        <v/>
      </c>
      <c r="F78" s="17" t="str">
        <f aca="false">IF(A78="","",IF(B78&lt;&gt;"","Registered","Unregistered"))</f>
        <v/>
      </c>
    </row>
    <row r="79" customFormat="false" ht="15" hidden="false" customHeight="true" outlineLevel="0" collapsed="false">
      <c r="A79" s="24"/>
      <c r="B79" s="24"/>
      <c r="C79" s="24"/>
      <c r="D79" s="24"/>
      <c r="E79" s="23" t="str">
        <f aca="false">IF(A79="","",IF(B79&lt;&gt;"",LEFT(B79,2),IFERROR(INDEX(Lists!$A$4:$A$40,MATCH(D79,Lists!$B$4:$B$40,0)),"?")))</f>
        <v/>
      </c>
      <c r="F79" s="17" t="str">
        <f aca="false">IF(A79="","",IF(B79&lt;&gt;"","Registered","Unregistered"))</f>
        <v/>
      </c>
    </row>
    <row r="80" customFormat="false" ht="15" hidden="false" customHeight="true" outlineLevel="0" collapsed="false">
      <c r="A80" s="24"/>
      <c r="B80" s="24"/>
      <c r="C80" s="24"/>
      <c r="D80" s="24"/>
      <c r="E80" s="23" t="str">
        <f aca="false">IF(A80="","",IF(B80&lt;&gt;"",LEFT(B80,2),IFERROR(INDEX(Lists!$A$4:$A$40,MATCH(D80,Lists!$B$4:$B$40,0)),"?")))</f>
        <v/>
      </c>
      <c r="F80" s="17" t="str">
        <f aca="false">IF(A80="","",IF(B80&lt;&gt;"","Registered","Unregistered"))</f>
        <v/>
      </c>
    </row>
    <row r="81" customFormat="false" ht="15" hidden="false" customHeight="true" outlineLevel="0" collapsed="false">
      <c r="A81" s="24"/>
      <c r="B81" s="24"/>
      <c r="C81" s="24"/>
      <c r="D81" s="24"/>
      <c r="E81" s="23" t="str">
        <f aca="false">IF(A81="","",IF(B81&lt;&gt;"",LEFT(B81,2),IFERROR(INDEX(Lists!$A$4:$A$40,MATCH(D81,Lists!$B$4:$B$40,0)),"?")))</f>
        <v/>
      </c>
      <c r="F81" s="17" t="str">
        <f aca="false">IF(A81="","",IF(B81&lt;&gt;"","Registered","Unregistered"))</f>
        <v/>
      </c>
    </row>
    <row r="82" customFormat="false" ht="15" hidden="false" customHeight="true" outlineLevel="0" collapsed="false">
      <c r="A82" s="24"/>
      <c r="B82" s="24"/>
      <c r="C82" s="24"/>
      <c r="D82" s="24"/>
      <c r="E82" s="23" t="str">
        <f aca="false">IF(A82="","",IF(B82&lt;&gt;"",LEFT(B82,2),IFERROR(INDEX(Lists!$A$4:$A$40,MATCH(D82,Lists!$B$4:$B$40,0)),"?")))</f>
        <v/>
      </c>
      <c r="F82" s="17" t="str">
        <f aca="false">IF(A82="","",IF(B82&lt;&gt;"","Registered","Unregistered"))</f>
        <v/>
      </c>
    </row>
    <row r="83" customFormat="false" ht="15" hidden="false" customHeight="true" outlineLevel="0" collapsed="false">
      <c r="A83" s="24"/>
      <c r="B83" s="24"/>
      <c r="C83" s="24"/>
      <c r="D83" s="24"/>
      <c r="E83" s="23" t="str">
        <f aca="false">IF(A83="","",IF(B83&lt;&gt;"",LEFT(B83,2),IFERROR(INDEX(Lists!$A$4:$A$40,MATCH(D83,Lists!$B$4:$B$40,0)),"?")))</f>
        <v/>
      </c>
      <c r="F83" s="17" t="str">
        <f aca="false">IF(A83="","",IF(B83&lt;&gt;"","Registered","Unregistered"))</f>
        <v/>
      </c>
    </row>
    <row r="84" customFormat="false" ht="15" hidden="false" customHeight="true" outlineLevel="0" collapsed="false">
      <c r="A84" s="24"/>
      <c r="B84" s="24"/>
      <c r="C84" s="24"/>
      <c r="D84" s="24"/>
      <c r="E84" s="23" t="str">
        <f aca="false">IF(A84="","",IF(B84&lt;&gt;"",LEFT(B84,2),IFERROR(INDEX(Lists!$A$4:$A$40,MATCH(D84,Lists!$B$4:$B$40,0)),"?")))</f>
        <v/>
      </c>
      <c r="F84" s="17" t="str">
        <f aca="false">IF(A84="","",IF(B84&lt;&gt;"","Registered","Unregistered"))</f>
        <v/>
      </c>
    </row>
    <row r="85" customFormat="false" ht="15" hidden="false" customHeight="true" outlineLevel="0" collapsed="false">
      <c r="A85" s="24"/>
      <c r="B85" s="24"/>
      <c r="C85" s="24"/>
      <c r="D85" s="24"/>
      <c r="E85" s="23" t="str">
        <f aca="false">IF(A85="","",IF(B85&lt;&gt;"",LEFT(B85,2),IFERROR(INDEX(Lists!$A$4:$A$40,MATCH(D85,Lists!$B$4:$B$40,0)),"?")))</f>
        <v/>
      </c>
      <c r="F85" s="17" t="str">
        <f aca="false">IF(A85="","",IF(B85&lt;&gt;"","Registered","Unregistered"))</f>
        <v/>
      </c>
    </row>
    <row r="86" customFormat="false" ht="15" hidden="false" customHeight="true" outlineLevel="0" collapsed="false">
      <c r="A86" s="24"/>
      <c r="B86" s="24"/>
      <c r="C86" s="24"/>
      <c r="D86" s="24"/>
      <c r="E86" s="23" t="str">
        <f aca="false">IF(A86="","",IF(B86&lt;&gt;"",LEFT(B86,2),IFERROR(INDEX(Lists!$A$4:$A$40,MATCH(D86,Lists!$B$4:$B$40,0)),"?")))</f>
        <v/>
      </c>
      <c r="F86" s="17" t="str">
        <f aca="false">IF(A86="","",IF(B86&lt;&gt;"","Registered","Unregistered"))</f>
        <v/>
      </c>
    </row>
    <row r="87" customFormat="false" ht="15" hidden="false" customHeight="true" outlineLevel="0" collapsed="false">
      <c r="A87" s="24"/>
      <c r="B87" s="24"/>
      <c r="C87" s="24"/>
      <c r="D87" s="24"/>
      <c r="E87" s="23" t="str">
        <f aca="false">IF(A87="","",IF(B87&lt;&gt;"",LEFT(B87,2),IFERROR(INDEX(Lists!$A$4:$A$40,MATCH(D87,Lists!$B$4:$B$40,0)),"?")))</f>
        <v/>
      </c>
      <c r="F87" s="17" t="str">
        <f aca="false">IF(A87="","",IF(B87&lt;&gt;"","Registered","Unregistered"))</f>
        <v/>
      </c>
    </row>
    <row r="88" customFormat="false" ht="15" hidden="false" customHeight="true" outlineLevel="0" collapsed="false">
      <c r="A88" s="24"/>
      <c r="B88" s="24"/>
      <c r="C88" s="24"/>
      <c r="D88" s="24"/>
      <c r="E88" s="23" t="str">
        <f aca="false">IF(A88="","",IF(B88&lt;&gt;"",LEFT(B88,2),IFERROR(INDEX(Lists!$A$4:$A$40,MATCH(D88,Lists!$B$4:$B$40,0)),"?")))</f>
        <v/>
      </c>
      <c r="F88" s="17" t="str">
        <f aca="false">IF(A88="","",IF(B88&lt;&gt;"","Registered","Unregistered"))</f>
        <v/>
      </c>
    </row>
    <row r="89" customFormat="false" ht="15" hidden="false" customHeight="true" outlineLevel="0" collapsed="false">
      <c r="A89" s="24"/>
      <c r="B89" s="24"/>
      <c r="C89" s="24"/>
      <c r="D89" s="24"/>
      <c r="E89" s="23" t="str">
        <f aca="false">IF(A89="","",IF(B89&lt;&gt;"",LEFT(B89,2),IFERROR(INDEX(Lists!$A$4:$A$40,MATCH(D89,Lists!$B$4:$B$40,0)),"?")))</f>
        <v/>
      </c>
      <c r="F89" s="17" t="str">
        <f aca="false">IF(A89="","",IF(B89&lt;&gt;"","Registered","Unregistered"))</f>
        <v/>
      </c>
    </row>
    <row r="90" customFormat="false" ht="15" hidden="false" customHeight="true" outlineLevel="0" collapsed="false">
      <c r="A90" s="24"/>
      <c r="B90" s="24"/>
      <c r="C90" s="24"/>
      <c r="D90" s="24"/>
      <c r="E90" s="23" t="str">
        <f aca="false">IF(A90="","",IF(B90&lt;&gt;"",LEFT(B90,2),IFERROR(INDEX(Lists!$A$4:$A$40,MATCH(D90,Lists!$B$4:$B$40,0)),"?")))</f>
        <v/>
      </c>
      <c r="F90" s="17" t="str">
        <f aca="false">IF(A90="","",IF(B90&lt;&gt;"","Registered","Unregistered"))</f>
        <v/>
      </c>
    </row>
    <row r="91" customFormat="false" ht="15" hidden="false" customHeight="true" outlineLevel="0" collapsed="false">
      <c r="A91" s="24"/>
      <c r="B91" s="24"/>
      <c r="C91" s="24"/>
      <c r="D91" s="24"/>
      <c r="E91" s="23" t="str">
        <f aca="false">IF(A91="","",IF(B91&lt;&gt;"",LEFT(B91,2),IFERROR(INDEX(Lists!$A$4:$A$40,MATCH(D91,Lists!$B$4:$B$40,0)),"?")))</f>
        <v/>
      </c>
      <c r="F91" s="17" t="str">
        <f aca="false">IF(A91="","",IF(B91&lt;&gt;"","Registered","Unregistered"))</f>
        <v/>
      </c>
    </row>
    <row r="92" customFormat="false" ht="15" hidden="false" customHeight="true" outlineLevel="0" collapsed="false">
      <c r="A92" s="24"/>
      <c r="B92" s="24"/>
      <c r="C92" s="24"/>
      <c r="D92" s="24"/>
      <c r="E92" s="23" t="str">
        <f aca="false">IF(A92="","",IF(B92&lt;&gt;"",LEFT(B92,2),IFERROR(INDEX(Lists!$A$4:$A$40,MATCH(D92,Lists!$B$4:$B$40,0)),"?")))</f>
        <v/>
      </c>
      <c r="F92" s="17" t="str">
        <f aca="false">IF(A92="","",IF(B92&lt;&gt;"","Registered","Unregistered"))</f>
        <v/>
      </c>
    </row>
    <row r="93" customFormat="false" ht="15" hidden="false" customHeight="true" outlineLevel="0" collapsed="false">
      <c r="A93" s="24"/>
      <c r="B93" s="24"/>
      <c r="C93" s="24"/>
      <c r="D93" s="24"/>
      <c r="E93" s="23" t="str">
        <f aca="false">IF(A93="","",IF(B93&lt;&gt;"",LEFT(B93,2),IFERROR(INDEX(Lists!$A$4:$A$40,MATCH(D93,Lists!$B$4:$B$40,0)),"?")))</f>
        <v/>
      </c>
      <c r="F93" s="17" t="str">
        <f aca="false">IF(A93="","",IF(B93&lt;&gt;"","Registered","Unregistered"))</f>
        <v/>
      </c>
    </row>
    <row r="94" customFormat="false" ht="15" hidden="false" customHeight="true" outlineLevel="0" collapsed="false">
      <c r="A94" s="24"/>
      <c r="B94" s="24"/>
      <c r="C94" s="24"/>
      <c r="D94" s="24"/>
      <c r="E94" s="23" t="str">
        <f aca="false">IF(A94="","",IF(B94&lt;&gt;"",LEFT(B94,2),IFERROR(INDEX(Lists!$A$4:$A$40,MATCH(D94,Lists!$B$4:$B$40,0)),"?")))</f>
        <v/>
      </c>
      <c r="F94" s="17" t="str">
        <f aca="false">IF(A94="","",IF(B94&lt;&gt;"","Registered","Unregistered"))</f>
        <v/>
      </c>
    </row>
    <row r="95" customFormat="false" ht="15" hidden="false" customHeight="true" outlineLevel="0" collapsed="false">
      <c r="A95" s="24"/>
      <c r="B95" s="24"/>
      <c r="C95" s="24"/>
      <c r="D95" s="24"/>
      <c r="E95" s="23" t="str">
        <f aca="false">IF(A95="","",IF(B95&lt;&gt;"",LEFT(B95,2),IFERROR(INDEX(Lists!$A$4:$A$40,MATCH(D95,Lists!$B$4:$B$40,0)),"?")))</f>
        <v/>
      </c>
      <c r="F95" s="17" t="str">
        <f aca="false">IF(A95="","",IF(B95&lt;&gt;"","Registered","Unregistered"))</f>
        <v/>
      </c>
    </row>
    <row r="96" customFormat="false" ht="15" hidden="false" customHeight="true" outlineLevel="0" collapsed="false">
      <c r="A96" s="24"/>
      <c r="B96" s="24"/>
      <c r="C96" s="24"/>
      <c r="D96" s="24"/>
      <c r="E96" s="23" t="str">
        <f aca="false">IF(A96="","",IF(B96&lt;&gt;"",LEFT(B96,2),IFERROR(INDEX(Lists!$A$4:$A$40,MATCH(D96,Lists!$B$4:$B$40,0)),"?")))</f>
        <v/>
      </c>
      <c r="F96" s="17" t="str">
        <f aca="false">IF(A96="","",IF(B96&lt;&gt;"","Registered","Unregistered"))</f>
        <v/>
      </c>
    </row>
    <row r="97" customFormat="false" ht="15" hidden="false" customHeight="true" outlineLevel="0" collapsed="false">
      <c r="A97" s="24"/>
      <c r="B97" s="24"/>
      <c r="C97" s="24"/>
      <c r="D97" s="24"/>
      <c r="E97" s="23" t="str">
        <f aca="false">IF(A97="","",IF(B97&lt;&gt;"",LEFT(B97,2),IFERROR(INDEX(Lists!$A$4:$A$40,MATCH(D97,Lists!$B$4:$B$40,0)),"?")))</f>
        <v/>
      </c>
      <c r="F97" s="17" t="str">
        <f aca="false">IF(A97="","",IF(B97&lt;&gt;"","Registered","Unregistered"))</f>
        <v/>
      </c>
    </row>
    <row r="98" customFormat="false" ht="15" hidden="false" customHeight="true" outlineLevel="0" collapsed="false">
      <c r="A98" s="24"/>
      <c r="B98" s="24"/>
      <c r="C98" s="24"/>
      <c r="D98" s="24"/>
      <c r="E98" s="23" t="str">
        <f aca="false">IF(A98="","",IF(B98&lt;&gt;"",LEFT(B98,2),IFERROR(INDEX(Lists!$A$4:$A$40,MATCH(D98,Lists!$B$4:$B$40,0)),"?")))</f>
        <v/>
      </c>
      <c r="F98" s="17" t="str">
        <f aca="false">IF(A98="","",IF(B98&lt;&gt;"","Registered","Unregistered"))</f>
        <v/>
      </c>
    </row>
    <row r="99" customFormat="false" ht="15" hidden="false" customHeight="true" outlineLevel="0" collapsed="false">
      <c r="A99" s="24"/>
      <c r="B99" s="24"/>
      <c r="C99" s="24"/>
      <c r="D99" s="24"/>
      <c r="E99" s="23" t="str">
        <f aca="false">IF(A99="","",IF(B99&lt;&gt;"",LEFT(B99,2),IFERROR(INDEX(Lists!$A$4:$A$40,MATCH(D99,Lists!$B$4:$B$40,0)),"?")))</f>
        <v/>
      </c>
      <c r="F99" s="17" t="str">
        <f aca="false">IF(A99="","",IF(B99&lt;&gt;"","Registered","Unregistered"))</f>
        <v/>
      </c>
    </row>
    <row r="100" customFormat="false" ht="15" hidden="false" customHeight="true" outlineLevel="0" collapsed="false">
      <c r="A100" s="24"/>
      <c r="B100" s="24"/>
      <c r="C100" s="24"/>
      <c r="D100" s="24"/>
      <c r="E100" s="23" t="str">
        <f aca="false">IF(A100="","",IF(B100&lt;&gt;"",LEFT(B100,2),IFERROR(INDEX(Lists!$A$4:$A$40,MATCH(D100,Lists!$B$4:$B$40,0)),"?")))</f>
        <v/>
      </c>
      <c r="F100" s="17" t="str">
        <f aca="false">IF(A100="","",IF(B100&lt;&gt;"","Registered","Unregistered"))</f>
        <v/>
      </c>
    </row>
    <row r="101" customFormat="false" ht="15" hidden="false" customHeight="true" outlineLevel="0" collapsed="false">
      <c r="A101" s="24"/>
      <c r="B101" s="24"/>
      <c r="C101" s="24"/>
      <c r="D101" s="24"/>
      <c r="E101" s="23" t="str">
        <f aca="false">IF(A101="","",IF(B101&lt;&gt;"",LEFT(B101,2),IFERROR(INDEX(Lists!$A$4:$A$40,MATCH(D101,Lists!$B$4:$B$40,0)),"?")))</f>
        <v/>
      </c>
      <c r="F101" s="17" t="str">
        <f aca="false">IF(A101="","",IF(B101&lt;&gt;"","Registered","Unregistered"))</f>
        <v/>
      </c>
    </row>
    <row r="102" customFormat="false" ht="15" hidden="false" customHeight="true" outlineLevel="0" collapsed="false">
      <c r="A102" s="24"/>
      <c r="B102" s="24"/>
      <c r="C102" s="24"/>
      <c r="D102" s="24"/>
      <c r="E102" s="23" t="str">
        <f aca="false">IF(A102="","",IF(B102&lt;&gt;"",LEFT(B102,2),IFERROR(INDEX(Lists!$A$4:$A$40,MATCH(D102,Lists!$B$4:$B$40,0)),"?")))</f>
        <v/>
      </c>
      <c r="F102" s="17" t="str">
        <f aca="false">IF(A102="","",IF(B102&lt;&gt;"","Registered","Unregistered"))</f>
        <v/>
      </c>
    </row>
    <row r="103" customFormat="false" ht="15" hidden="false" customHeight="true" outlineLevel="0" collapsed="false">
      <c r="A103" s="24"/>
      <c r="B103" s="24"/>
      <c r="C103" s="24"/>
      <c r="D103" s="24"/>
      <c r="E103" s="23" t="str">
        <f aca="false">IF(A103="","",IF(B103&lt;&gt;"",LEFT(B103,2),IFERROR(INDEX(Lists!$A$4:$A$40,MATCH(D103,Lists!$B$4:$B$40,0)),"?")))</f>
        <v/>
      </c>
      <c r="F103" s="17" t="str">
        <f aca="false">IF(A103="","",IF(B103&lt;&gt;"","Registered","Unregistered"))</f>
        <v/>
      </c>
    </row>
    <row r="104" customFormat="false" ht="15" hidden="false" customHeight="true" outlineLevel="0" collapsed="false">
      <c r="A104" s="24"/>
      <c r="B104" s="24"/>
      <c r="C104" s="24"/>
      <c r="D104" s="24"/>
      <c r="E104" s="23" t="str">
        <f aca="false">IF(A104="","",IF(B104&lt;&gt;"",LEFT(B104,2),IFERROR(INDEX(Lists!$A$4:$A$40,MATCH(D104,Lists!$B$4:$B$40,0)),"?")))</f>
        <v/>
      </c>
      <c r="F104" s="17" t="str">
        <f aca="false">IF(A104="","",IF(B104&lt;&gt;"","Registered","Unregistered"))</f>
        <v/>
      </c>
    </row>
    <row r="105" customFormat="false" ht="15" hidden="false" customHeight="true" outlineLevel="0" collapsed="false">
      <c r="A105" s="24"/>
      <c r="B105" s="24"/>
      <c r="C105" s="24"/>
      <c r="D105" s="24"/>
      <c r="E105" s="23" t="str">
        <f aca="false">IF(A105="","",IF(B105&lt;&gt;"",LEFT(B105,2),IFERROR(INDEX(Lists!$A$4:$A$40,MATCH(D105,Lists!$B$4:$B$40,0)),"?")))</f>
        <v/>
      </c>
      <c r="F105" s="17" t="str">
        <f aca="false">IF(A105="","",IF(B105&lt;&gt;"","Registered","Unregistered"))</f>
        <v/>
      </c>
    </row>
    <row r="106" customFormat="false" ht="15" hidden="false" customHeight="true" outlineLevel="0" collapsed="false">
      <c r="A106" s="24"/>
      <c r="B106" s="24"/>
      <c r="C106" s="24"/>
      <c r="D106" s="24"/>
      <c r="E106" s="23" t="str">
        <f aca="false">IF(A106="","",IF(B106&lt;&gt;"",LEFT(B106,2),IFERROR(INDEX(Lists!$A$4:$A$40,MATCH(D106,Lists!$B$4:$B$40,0)),"?")))</f>
        <v/>
      </c>
      <c r="F106" s="17" t="str">
        <f aca="false">IF(A106="","",IF(B106&lt;&gt;"","Registered","Unregistered"))</f>
        <v/>
      </c>
    </row>
    <row r="107" customFormat="false" ht="15" hidden="false" customHeight="true" outlineLevel="0" collapsed="false">
      <c r="A107" s="24"/>
      <c r="B107" s="24"/>
      <c r="C107" s="24"/>
      <c r="D107" s="24"/>
      <c r="E107" s="23" t="str">
        <f aca="false">IF(A107="","",IF(B107&lt;&gt;"",LEFT(B107,2),IFERROR(INDEX(Lists!$A$4:$A$40,MATCH(D107,Lists!$B$4:$B$40,0)),"?")))</f>
        <v/>
      </c>
      <c r="F107" s="17" t="str">
        <f aca="false">IF(A107="","",IF(B107&lt;&gt;"","Registered","Unregistered"))</f>
        <v/>
      </c>
    </row>
    <row r="108" customFormat="false" ht="15" hidden="false" customHeight="true" outlineLevel="0" collapsed="false">
      <c r="A108" s="24"/>
      <c r="B108" s="24"/>
      <c r="C108" s="24"/>
      <c r="D108" s="24"/>
      <c r="E108" s="23" t="str">
        <f aca="false">IF(A108="","",IF(B108&lt;&gt;"",LEFT(B108,2),IFERROR(INDEX(Lists!$A$4:$A$40,MATCH(D108,Lists!$B$4:$B$40,0)),"?")))</f>
        <v/>
      </c>
      <c r="F108" s="17" t="str">
        <f aca="false">IF(A108="","",IF(B108&lt;&gt;"","Registered","Unregistered"))</f>
        <v/>
      </c>
    </row>
    <row r="109" customFormat="false" ht="15" hidden="false" customHeight="true" outlineLevel="0" collapsed="false">
      <c r="A109" s="24"/>
      <c r="B109" s="24"/>
      <c r="C109" s="24"/>
      <c r="D109" s="24"/>
      <c r="E109" s="23" t="str">
        <f aca="false">IF(A109="","",IF(B109&lt;&gt;"",LEFT(B109,2),IFERROR(INDEX(Lists!$A$4:$A$40,MATCH(D109,Lists!$B$4:$B$40,0)),"?")))</f>
        <v/>
      </c>
      <c r="F109" s="17" t="str">
        <f aca="false">IF(A109="","",IF(B109&lt;&gt;"","Registered","Unregistered"))</f>
        <v/>
      </c>
    </row>
    <row r="110" customFormat="false" ht="15" hidden="false" customHeight="true" outlineLevel="0" collapsed="false">
      <c r="A110" s="24"/>
      <c r="B110" s="24"/>
      <c r="C110" s="24"/>
      <c r="D110" s="24"/>
      <c r="E110" s="23" t="str">
        <f aca="false">IF(A110="","",IF(B110&lt;&gt;"",LEFT(B110,2),IFERROR(INDEX(Lists!$A$4:$A$40,MATCH(D110,Lists!$B$4:$B$40,0)),"?")))</f>
        <v/>
      </c>
      <c r="F110" s="17" t="str">
        <f aca="false">IF(A110="","",IF(B110&lt;&gt;"","Registered","Unregistered"))</f>
        <v/>
      </c>
    </row>
    <row r="111" customFormat="false" ht="15" hidden="false" customHeight="true" outlineLevel="0" collapsed="false">
      <c r="A111" s="24"/>
      <c r="B111" s="24"/>
      <c r="C111" s="24"/>
      <c r="D111" s="24"/>
      <c r="E111" s="23" t="str">
        <f aca="false">IF(A111="","",IF(B111&lt;&gt;"",LEFT(B111,2),IFERROR(INDEX(Lists!$A$4:$A$40,MATCH(D111,Lists!$B$4:$B$40,0)),"?")))</f>
        <v/>
      </c>
      <c r="F111" s="17" t="str">
        <f aca="false">IF(A111="","",IF(B111&lt;&gt;"","Registered","Unregistered"))</f>
        <v/>
      </c>
    </row>
    <row r="112" customFormat="false" ht="15" hidden="false" customHeight="true" outlineLevel="0" collapsed="false">
      <c r="A112" s="24"/>
      <c r="B112" s="24"/>
      <c r="C112" s="24"/>
      <c r="D112" s="24"/>
      <c r="E112" s="23" t="str">
        <f aca="false">IF(A112="","",IF(B112&lt;&gt;"",LEFT(B112,2),IFERROR(INDEX(Lists!$A$4:$A$40,MATCH(D112,Lists!$B$4:$B$40,0)),"?")))</f>
        <v/>
      </c>
      <c r="F112" s="17" t="str">
        <f aca="false">IF(A112="","",IF(B112&lt;&gt;"","Registered","Unregistered"))</f>
        <v/>
      </c>
    </row>
    <row r="113" customFormat="false" ht="15" hidden="false" customHeight="true" outlineLevel="0" collapsed="false">
      <c r="A113" s="24"/>
      <c r="B113" s="24"/>
      <c r="C113" s="24"/>
      <c r="D113" s="24"/>
      <c r="E113" s="23" t="str">
        <f aca="false">IF(A113="","",IF(B113&lt;&gt;"",LEFT(B113,2),IFERROR(INDEX(Lists!$A$4:$A$40,MATCH(D113,Lists!$B$4:$B$40,0)),"?")))</f>
        <v/>
      </c>
      <c r="F113" s="17" t="str">
        <f aca="false">IF(A113="","",IF(B113&lt;&gt;"","Registered","Unregistered"))</f>
        <v/>
      </c>
    </row>
    <row r="114" customFormat="false" ht="15" hidden="false" customHeight="true" outlineLevel="0" collapsed="false">
      <c r="A114" s="24"/>
      <c r="B114" s="24"/>
      <c r="C114" s="24"/>
      <c r="D114" s="24"/>
      <c r="E114" s="23" t="str">
        <f aca="false">IF(A114="","",IF(B114&lt;&gt;"",LEFT(B114,2),IFERROR(INDEX(Lists!$A$4:$A$40,MATCH(D114,Lists!$B$4:$B$40,0)),"?")))</f>
        <v/>
      </c>
      <c r="F114" s="17" t="str">
        <f aca="false">IF(A114="","",IF(B114&lt;&gt;"","Registered","Unregistered"))</f>
        <v/>
      </c>
    </row>
    <row r="115" customFormat="false" ht="15" hidden="false" customHeight="true" outlineLevel="0" collapsed="false">
      <c r="A115" s="24"/>
      <c r="B115" s="24"/>
      <c r="C115" s="24"/>
      <c r="D115" s="24"/>
      <c r="E115" s="23" t="str">
        <f aca="false">IF(A115="","",IF(B115&lt;&gt;"",LEFT(B115,2),IFERROR(INDEX(Lists!$A$4:$A$40,MATCH(D115,Lists!$B$4:$B$40,0)),"?")))</f>
        <v/>
      </c>
      <c r="F115" s="17" t="str">
        <f aca="false">IF(A115="","",IF(B115&lt;&gt;"","Registered","Unregistered"))</f>
        <v/>
      </c>
    </row>
    <row r="116" customFormat="false" ht="15" hidden="false" customHeight="true" outlineLevel="0" collapsed="false">
      <c r="A116" s="24"/>
      <c r="B116" s="24"/>
      <c r="C116" s="24"/>
      <c r="D116" s="24"/>
      <c r="E116" s="23" t="str">
        <f aca="false">IF(A116="","",IF(B116&lt;&gt;"",LEFT(B116,2),IFERROR(INDEX(Lists!$A$4:$A$40,MATCH(D116,Lists!$B$4:$B$40,0)),"?")))</f>
        <v/>
      </c>
      <c r="F116" s="17" t="str">
        <f aca="false">IF(A116="","",IF(B116&lt;&gt;"","Registered","Unregistered"))</f>
        <v/>
      </c>
    </row>
    <row r="117" customFormat="false" ht="15" hidden="false" customHeight="true" outlineLevel="0" collapsed="false">
      <c r="A117" s="24"/>
      <c r="B117" s="24"/>
      <c r="C117" s="24"/>
      <c r="D117" s="24"/>
      <c r="E117" s="23" t="str">
        <f aca="false">IF(A117="","",IF(B117&lt;&gt;"",LEFT(B117,2),IFERROR(INDEX(Lists!$A$4:$A$40,MATCH(D117,Lists!$B$4:$B$40,0)),"?")))</f>
        <v/>
      </c>
      <c r="F117" s="17" t="str">
        <f aca="false">IF(A117="","",IF(B117&lt;&gt;"","Registered","Unregistered"))</f>
        <v/>
      </c>
    </row>
    <row r="118" customFormat="false" ht="15" hidden="false" customHeight="true" outlineLevel="0" collapsed="false">
      <c r="A118" s="24"/>
      <c r="B118" s="24"/>
      <c r="C118" s="24"/>
      <c r="D118" s="24"/>
      <c r="E118" s="23" t="str">
        <f aca="false">IF(A118="","",IF(B118&lt;&gt;"",LEFT(B118,2),IFERROR(INDEX(Lists!$A$4:$A$40,MATCH(D118,Lists!$B$4:$B$40,0)),"?")))</f>
        <v/>
      </c>
      <c r="F118" s="17" t="str">
        <f aca="false">IF(A118="","",IF(B118&lt;&gt;"","Registered","Unregistered"))</f>
        <v/>
      </c>
    </row>
    <row r="119" customFormat="false" ht="15" hidden="false" customHeight="true" outlineLevel="0" collapsed="false">
      <c r="A119" s="24"/>
      <c r="B119" s="24"/>
      <c r="C119" s="24"/>
      <c r="D119" s="24"/>
      <c r="E119" s="23" t="str">
        <f aca="false">IF(A119="","",IF(B119&lt;&gt;"",LEFT(B119,2),IFERROR(INDEX(Lists!$A$4:$A$40,MATCH(D119,Lists!$B$4:$B$40,0)),"?")))</f>
        <v/>
      </c>
      <c r="F119" s="17" t="str">
        <f aca="false">IF(A119="","",IF(B119&lt;&gt;"","Registered","Unregistered"))</f>
        <v/>
      </c>
    </row>
    <row r="120" customFormat="false" ht="15" hidden="false" customHeight="true" outlineLevel="0" collapsed="false">
      <c r="A120" s="24"/>
      <c r="B120" s="24"/>
      <c r="C120" s="24"/>
      <c r="D120" s="24"/>
      <c r="E120" s="23" t="str">
        <f aca="false">IF(A120="","",IF(B120&lt;&gt;"",LEFT(B120,2),IFERROR(INDEX(Lists!$A$4:$A$40,MATCH(D120,Lists!$B$4:$B$40,0)),"?")))</f>
        <v/>
      </c>
      <c r="F120" s="17" t="str">
        <f aca="false">IF(A120="","",IF(B120&lt;&gt;"","Registered","Unregistered"))</f>
        <v/>
      </c>
    </row>
    <row r="121" customFormat="false" ht="15" hidden="false" customHeight="true" outlineLevel="0" collapsed="false">
      <c r="A121" s="24"/>
      <c r="B121" s="24"/>
      <c r="C121" s="24"/>
      <c r="D121" s="24"/>
      <c r="E121" s="23" t="str">
        <f aca="false">IF(A121="","",IF(B121&lt;&gt;"",LEFT(B121,2),IFERROR(INDEX(Lists!$A$4:$A$40,MATCH(D121,Lists!$B$4:$B$40,0)),"?")))</f>
        <v/>
      </c>
      <c r="F121" s="17" t="str">
        <f aca="false">IF(A121="","",IF(B121&lt;&gt;"","Registered","Unregistered"))</f>
        <v/>
      </c>
    </row>
    <row r="122" customFormat="false" ht="15" hidden="false" customHeight="true" outlineLevel="0" collapsed="false">
      <c r="A122" s="24"/>
      <c r="B122" s="24"/>
      <c r="C122" s="24"/>
      <c r="D122" s="24"/>
      <c r="E122" s="23" t="str">
        <f aca="false">IF(A122="","",IF(B122&lt;&gt;"",LEFT(B122,2),IFERROR(INDEX(Lists!$A$4:$A$40,MATCH(D122,Lists!$B$4:$B$40,0)),"?")))</f>
        <v/>
      </c>
      <c r="F122" s="17" t="str">
        <f aca="false">IF(A122="","",IF(B122&lt;&gt;"","Registered","Unregistered"))</f>
        <v/>
      </c>
    </row>
    <row r="123" customFormat="false" ht="15" hidden="false" customHeight="true" outlineLevel="0" collapsed="false">
      <c r="A123" s="24"/>
      <c r="B123" s="24"/>
      <c r="C123" s="24"/>
      <c r="D123" s="24"/>
      <c r="E123" s="23" t="str">
        <f aca="false">IF(A123="","",IF(B123&lt;&gt;"",LEFT(B123,2),IFERROR(INDEX(Lists!$A$4:$A$40,MATCH(D123,Lists!$B$4:$B$40,0)),"?")))</f>
        <v/>
      </c>
      <c r="F123" s="17" t="str">
        <f aca="false">IF(A123="","",IF(B123&lt;&gt;"","Registered","Unregistered"))</f>
        <v/>
      </c>
    </row>
    <row r="124" customFormat="false" ht="15" hidden="false" customHeight="true" outlineLevel="0" collapsed="false">
      <c r="A124" s="24"/>
      <c r="B124" s="24"/>
      <c r="C124" s="24"/>
      <c r="D124" s="24"/>
      <c r="E124" s="23" t="str">
        <f aca="false">IF(A124="","",IF(B124&lt;&gt;"",LEFT(B124,2),IFERROR(INDEX(Lists!$A$4:$A$40,MATCH(D124,Lists!$B$4:$B$40,0)),"?")))</f>
        <v/>
      </c>
      <c r="F124" s="17" t="str">
        <f aca="false">IF(A124="","",IF(B124&lt;&gt;"","Registered","Unregistered"))</f>
        <v/>
      </c>
    </row>
    <row r="125" customFormat="false" ht="15" hidden="false" customHeight="true" outlineLevel="0" collapsed="false">
      <c r="A125" s="24"/>
      <c r="B125" s="24"/>
      <c r="C125" s="24"/>
      <c r="D125" s="24"/>
      <c r="E125" s="23" t="str">
        <f aca="false">IF(A125="","",IF(B125&lt;&gt;"",LEFT(B125,2),IFERROR(INDEX(Lists!$A$4:$A$40,MATCH(D125,Lists!$B$4:$B$40,0)),"?")))</f>
        <v/>
      </c>
      <c r="F125" s="17" t="str">
        <f aca="false">IF(A125="","",IF(B125&lt;&gt;"","Registered","Unregistered"))</f>
        <v/>
      </c>
    </row>
    <row r="126" customFormat="false" ht="15" hidden="false" customHeight="true" outlineLevel="0" collapsed="false">
      <c r="A126" s="24"/>
      <c r="B126" s="24"/>
      <c r="C126" s="24"/>
      <c r="D126" s="24"/>
      <c r="E126" s="23" t="str">
        <f aca="false">IF(A126="","",IF(B126&lt;&gt;"",LEFT(B126,2),IFERROR(INDEX(Lists!$A$4:$A$40,MATCH(D126,Lists!$B$4:$B$40,0)),"?")))</f>
        <v/>
      </c>
      <c r="F126" s="17" t="str">
        <f aca="false">IF(A126="","",IF(B126&lt;&gt;"","Registered","Unregistered"))</f>
        <v/>
      </c>
    </row>
    <row r="127" customFormat="false" ht="15" hidden="false" customHeight="true" outlineLevel="0" collapsed="false">
      <c r="A127" s="24"/>
      <c r="B127" s="24"/>
      <c r="C127" s="24"/>
      <c r="D127" s="24"/>
      <c r="E127" s="23" t="str">
        <f aca="false">IF(A127="","",IF(B127&lt;&gt;"",LEFT(B127,2),IFERROR(INDEX(Lists!$A$4:$A$40,MATCH(D127,Lists!$B$4:$B$40,0)),"?")))</f>
        <v/>
      </c>
      <c r="F127" s="17" t="str">
        <f aca="false">IF(A127="","",IF(B127&lt;&gt;"","Registered","Unregistered"))</f>
        <v/>
      </c>
    </row>
    <row r="128" customFormat="false" ht="15" hidden="false" customHeight="true" outlineLevel="0" collapsed="false">
      <c r="A128" s="24"/>
      <c r="B128" s="24"/>
      <c r="C128" s="24"/>
      <c r="D128" s="24"/>
      <c r="E128" s="23" t="str">
        <f aca="false">IF(A128="","",IF(B128&lt;&gt;"",LEFT(B128,2),IFERROR(INDEX(Lists!$A$4:$A$40,MATCH(D128,Lists!$B$4:$B$40,0)),"?")))</f>
        <v/>
      </c>
      <c r="F128" s="17" t="str">
        <f aca="false">IF(A128="","",IF(B128&lt;&gt;"","Registered","Unregistered"))</f>
        <v/>
      </c>
    </row>
    <row r="129" customFormat="false" ht="15" hidden="false" customHeight="true" outlineLevel="0" collapsed="false">
      <c r="A129" s="24"/>
      <c r="B129" s="24"/>
      <c r="C129" s="24"/>
      <c r="D129" s="24"/>
      <c r="E129" s="23" t="str">
        <f aca="false">IF(A129="","",IF(B129&lt;&gt;"",LEFT(B129,2),IFERROR(INDEX(Lists!$A$4:$A$40,MATCH(D129,Lists!$B$4:$B$40,0)),"?")))</f>
        <v/>
      </c>
      <c r="F129" s="17" t="str">
        <f aca="false">IF(A129="","",IF(B129&lt;&gt;"","Registered","Unregistered"))</f>
        <v/>
      </c>
    </row>
    <row r="130" customFormat="false" ht="15" hidden="false" customHeight="true" outlineLevel="0" collapsed="false">
      <c r="A130" s="24"/>
      <c r="B130" s="24"/>
      <c r="C130" s="24"/>
      <c r="D130" s="24"/>
      <c r="E130" s="23" t="str">
        <f aca="false">IF(A130="","",IF(B130&lt;&gt;"",LEFT(B130,2),IFERROR(INDEX(Lists!$A$4:$A$40,MATCH(D130,Lists!$B$4:$B$40,0)),"?")))</f>
        <v/>
      </c>
      <c r="F130" s="17" t="str">
        <f aca="false">IF(A130="","",IF(B130&lt;&gt;"","Registered","Unregistered"))</f>
        <v/>
      </c>
    </row>
    <row r="131" customFormat="false" ht="15" hidden="false" customHeight="true" outlineLevel="0" collapsed="false">
      <c r="A131" s="24"/>
      <c r="B131" s="24"/>
      <c r="C131" s="24"/>
      <c r="D131" s="24"/>
      <c r="E131" s="23" t="str">
        <f aca="false">IF(A131="","",IF(B131&lt;&gt;"",LEFT(B131,2),IFERROR(INDEX(Lists!$A$4:$A$40,MATCH(D131,Lists!$B$4:$B$40,0)),"?")))</f>
        <v/>
      </c>
      <c r="F131" s="17" t="str">
        <f aca="false">IF(A131="","",IF(B131&lt;&gt;"","Registered","Unregistered"))</f>
        <v/>
      </c>
    </row>
    <row r="132" customFormat="false" ht="15" hidden="false" customHeight="true" outlineLevel="0" collapsed="false">
      <c r="A132" s="24"/>
      <c r="B132" s="24"/>
      <c r="C132" s="24"/>
      <c r="D132" s="24"/>
      <c r="E132" s="23" t="str">
        <f aca="false">IF(A132="","",IF(B132&lt;&gt;"",LEFT(B132,2),IFERROR(INDEX(Lists!$A$4:$A$40,MATCH(D132,Lists!$B$4:$B$40,0)),"?")))</f>
        <v/>
      </c>
      <c r="F132" s="17" t="str">
        <f aca="false">IF(A132="","",IF(B132&lt;&gt;"","Registered","Unregistered"))</f>
        <v/>
      </c>
    </row>
    <row r="133" customFormat="false" ht="15" hidden="false" customHeight="true" outlineLevel="0" collapsed="false">
      <c r="A133" s="24"/>
      <c r="B133" s="24"/>
      <c r="C133" s="24"/>
      <c r="D133" s="24"/>
      <c r="E133" s="23" t="str">
        <f aca="false">IF(A133="","",IF(B133&lt;&gt;"",LEFT(B133,2),IFERROR(INDEX(Lists!$A$4:$A$40,MATCH(D133,Lists!$B$4:$B$40,0)),"?")))</f>
        <v/>
      </c>
      <c r="F133" s="17" t="str">
        <f aca="false">IF(A133="","",IF(B133&lt;&gt;"","Registered","Unregistered"))</f>
        <v/>
      </c>
    </row>
    <row r="134" customFormat="false" ht="15" hidden="false" customHeight="true" outlineLevel="0" collapsed="false">
      <c r="A134" s="24"/>
      <c r="B134" s="24"/>
      <c r="C134" s="24"/>
      <c r="D134" s="24"/>
      <c r="E134" s="23" t="str">
        <f aca="false">IF(A134="","",IF(B134&lt;&gt;"",LEFT(B134,2),IFERROR(INDEX(Lists!$A$4:$A$40,MATCH(D134,Lists!$B$4:$B$40,0)),"?")))</f>
        <v/>
      </c>
      <c r="F134" s="17" t="str">
        <f aca="false">IF(A134="","",IF(B134&lt;&gt;"","Registered","Unregistered"))</f>
        <v/>
      </c>
    </row>
    <row r="135" customFormat="false" ht="15" hidden="false" customHeight="true" outlineLevel="0" collapsed="false">
      <c r="A135" s="24"/>
      <c r="B135" s="24"/>
      <c r="C135" s="24"/>
      <c r="D135" s="24"/>
      <c r="E135" s="23" t="str">
        <f aca="false">IF(A135="","",IF(B135&lt;&gt;"",LEFT(B135,2),IFERROR(INDEX(Lists!$A$4:$A$40,MATCH(D135,Lists!$B$4:$B$40,0)),"?")))</f>
        <v/>
      </c>
      <c r="F135" s="17" t="str">
        <f aca="false">IF(A135="","",IF(B135&lt;&gt;"","Registered","Unregistered"))</f>
        <v/>
      </c>
    </row>
    <row r="136" customFormat="false" ht="15" hidden="false" customHeight="true" outlineLevel="0" collapsed="false">
      <c r="A136" s="24"/>
      <c r="B136" s="24"/>
      <c r="C136" s="24"/>
      <c r="D136" s="24"/>
      <c r="E136" s="23" t="str">
        <f aca="false">IF(A136="","",IF(B136&lt;&gt;"",LEFT(B136,2),IFERROR(INDEX(Lists!$A$4:$A$40,MATCH(D136,Lists!$B$4:$B$40,0)),"?")))</f>
        <v/>
      </c>
      <c r="F136" s="17" t="str">
        <f aca="false">IF(A136="","",IF(B136&lt;&gt;"","Registered","Unregistered"))</f>
        <v/>
      </c>
    </row>
    <row r="137" customFormat="false" ht="15" hidden="false" customHeight="true" outlineLevel="0" collapsed="false">
      <c r="A137" s="24"/>
      <c r="B137" s="24"/>
      <c r="C137" s="24"/>
      <c r="D137" s="24"/>
      <c r="E137" s="23" t="str">
        <f aca="false">IF(A137="","",IF(B137&lt;&gt;"",LEFT(B137,2),IFERROR(INDEX(Lists!$A$4:$A$40,MATCH(D137,Lists!$B$4:$B$40,0)),"?")))</f>
        <v/>
      </c>
      <c r="F137" s="17" t="str">
        <f aca="false">IF(A137="","",IF(B137&lt;&gt;"","Registered","Unregistered"))</f>
        <v/>
      </c>
    </row>
    <row r="138" customFormat="false" ht="15" hidden="false" customHeight="true" outlineLevel="0" collapsed="false">
      <c r="A138" s="24"/>
      <c r="B138" s="24"/>
      <c r="C138" s="24"/>
      <c r="D138" s="24"/>
      <c r="E138" s="23" t="str">
        <f aca="false">IF(A138="","",IF(B138&lt;&gt;"",LEFT(B138,2),IFERROR(INDEX(Lists!$A$4:$A$40,MATCH(D138,Lists!$B$4:$B$40,0)),"?")))</f>
        <v/>
      </c>
      <c r="F138" s="17" t="str">
        <f aca="false">IF(A138="","",IF(B138&lt;&gt;"","Registered","Unregistered"))</f>
        <v/>
      </c>
    </row>
    <row r="139" customFormat="false" ht="15" hidden="false" customHeight="true" outlineLevel="0" collapsed="false">
      <c r="A139" s="24"/>
      <c r="B139" s="24"/>
      <c r="C139" s="24"/>
      <c r="D139" s="24"/>
      <c r="E139" s="23" t="str">
        <f aca="false">IF(A139="","",IF(B139&lt;&gt;"",LEFT(B139,2),IFERROR(INDEX(Lists!$A$4:$A$40,MATCH(D139,Lists!$B$4:$B$40,0)),"?")))</f>
        <v/>
      </c>
      <c r="F139" s="17" t="str">
        <f aca="false">IF(A139="","",IF(B139&lt;&gt;"","Registered","Unregistered"))</f>
        <v/>
      </c>
    </row>
    <row r="140" customFormat="false" ht="15" hidden="false" customHeight="true" outlineLevel="0" collapsed="false">
      <c r="A140" s="24"/>
      <c r="B140" s="24"/>
      <c r="C140" s="24"/>
      <c r="D140" s="24"/>
      <c r="E140" s="23" t="str">
        <f aca="false">IF(A140="","",IF(B140&lt;&gt;"",LEFT(B140,2),IFERROR(INDEX(Lists!$A$4:$A$40,MATCH(D140,Lists!$B$4:$B$40,0)),"?")))</f>
        <v/>
      </c>
      <c r="F140" s="17" t="str">
        <f aca="false">IF(A140="","",IF(B140&lt;&gt;"","Registered","Unregistered"))</f>
        <v/>
      </c>
    </row>
    <row r="141" customFormat="false" ht="15" hidden="false" customHeight="true" outlineLevel="0" collapsed="false">
      <c r="A141" s="24"/>
      <c r="B141" s="24"/>
      <c r="C141" s="24"/>
      <c r="D141" s="24"/>
      <c r="E141" s="23" t="str">
        <f aca="false">IF(A141="","",IF(B141&lt;&gt;"",LEFT(B141,2),IFERROR(INDEX(Lists!$A$4:$A$40,MATCH(D141,Lists!$B$4:$B$40,0)),"?")))</f>
        <v/>
      </c>
      <c r="F141" s="17" t="str">
        <f aca="false">IF(A141="","",IF(B141&lt;&gt;"","Registered","Unregistered"))</f>
        <v/>
      </c>
    </row>
    <row r="142" customFormat="false" ht="15" hidden="false" customHeight="true" outlineLevel="0" collapsed="false">
      <c r="A142" s="24"/>
      <c r="B142" s="24"/>
      <c r="C142" s="24"/>
      <c r="D142" s="24"/>
      <c r="E142" s="23" t="str">
        <f aca="false">IF(A142="","",IF(B142&lt;&gt;"",LEFT(B142,2),IFERROR(INDEX(Lists!$A$4:$A$40,MATCH(D142,Lists!$B$4:$B$40,0)),"?")))</f>
        <v/>
      </c>
      <c r="F142" s="17" t="str">
        <f aca="false">IF(A142="","",IF(B142&lt;&gt;"","Registered","Unregistered"))</f>
        <v/>
      </c>
    </row>
    <row r="143" customFormat="false" ht="15" hidden="false" customHeight="true" outlineLevel="0" collapsed="false">
      <c r="A143" s="24"/>
      <c r="B143" s="24"/>
      <c r="C143" s="24"/>
      <c r="D143" s="24"/>
      <c r="E143" s="23" t="str">
        <f aca="false">IF(A143="","",IF(B143&lt;&gt;"",LEFT(B143,2),IFERROR(INDEX(Lists!$A$4:$A$40,MATCH(D143,Lists!$B$4:$B$40,0)),"?")))</f>
        <v/>
      </c>
      <c r="F143" s="17" t="str">
        <f aca="false">IF(A143="","",IF(B143&lt;&gt;"","Registered","Unregistered"))</f>
        <v/>
      </c>
    </row>
    <row r="144" customFormat="false" ht="15" hidden="false" customHeight="true" outlineLevel="0" collapsed="false">
      <c r="A144" s="24"/>
      <c r="B144" s="24"/>
      <c r="C144" s="24"/>
      <c r="D144" s="24"/>
      <c r="E144" s="23" t="str">
        <f aca="false">IF(A144="","",IF(B144&lt;&gt;"",LEFT(B144,2),IFERROR(INDEX(Lists!$A$4:$A$40,MATCH(D144,Lists!$B$4:$B$40,0)),"?")))</f>
        <v/>
      </c>
      <c r="F144" s="17" t="str">
        <f aca="false">IF(A144="","",IF(B144&lt;&gt;"","Registered","Unregistered"))</f>
        <v/>
      </c>
    </row>
    <row r="145" customFormat="false" ht="15" hidden="false" customHeight="true" outlineLevel="0" collapsed="false">
      <c r="A145" s="24"/>
      <c r="B145" s="24"/>
      <c r="C145" s="24"/>
      <c r="D145" s="24"/>
      <c r="E145" s="23" t="str">
        <f aca="false">IF(A145="","",IF(B145&lt;&gt;"",LEFT(B145,2),IFERROR(INDEX(Lists!$A$4:$A$40,MATCH(D145,Lists!$B$4:$B$40,0)),"?")))</f>
        <v/>
      </c>
      <c r="F145" s="17" t="str">
        <f aca="false">IF(A145="","",IF(B145&lt;&gt;"","Registered","Unregistered"))</f>
        <v/>
      </c>
    </row>
    <row r="146" customFormat="false" ht="15" hidden="false" customHeight="true" outlineLevel="0" collapsed="false">
      <c r="A146" s="24"/>
      <c r="B146" s="24"/>
      <c r="C146" s="24"/>
      <c r="D146" s="24"/>
      <c r="E146" s="23" t="str">
        <f aca="false">IF(A146="","",IF(B146&lt;&gt;"",LEFT(B146,2),IFERROR(INDEX(Lists!$A$4:$A$40,MATCH(D146,Lists!$B$4:$B$40,0)),"?")))</f>
        <v/>
      </c>
      <c r="F146" s="17" t="str">
        <f aca="false">IF(A146="","",IF(B146&lt;&gt;"","Registered","Unregistered"))</f>
        <v/>
      </c>
    </row>
    <row r="147" customFormat="false" ht="15" hidden="false" customHeight="true" outlineLevel="0" collapsed="false">
      <c r="A147" s="24"/>
      <c r="B147" s="24"/>
      <c r="C147" s="24"/>
      <c r="D147" s="24"/>
      <c r="E147" s="23" t="str">
        <f aca="false">IF(A147="","",IF(B147&lt;&gt;"",LEFT(B147,2),IFERROR(INDEX(Lists!$A$4:$A$40,MATCH(D147,Lists!$B$4:$B$40,0)),"?")))</f>
        <v/>
      </c>
      <c r="F147" s="17" t="str">
        <f aca="false">IF(A147="","",IF(B147&lt;&gt;"","Registered","Unregistered"))</f>
        <v/>
      </c>
    </row>
    <row r="148" customFormat="false" ht="15" hidden="false" customHeight="true" outlineLevel="0" collapsed="false">
      <c r="A148" s="24"/>
      <c r="B148" s="24"/>
      <c r="C148" s="24"/>
      <c r="D148" s="24"/>
      <c r="E148" s="23" t="str">
        <f aca="false">IF(A148="","",IF(B148&lt;&gt;"",LEFT(B148,2),IFERROR(INDEX(Lists!$A$4:$A$40,MATCH(D148,Lists!$B$4:$B$40,0)),"?")))</f>
        <v/>
      </c>
      <c r="F148" s="17" t="str">
        <f aca="false">IF(A148="","",IF(B148&lt;&gt;"","Registered","Unregistered"))</f>
        <v/>
      </c>
    </row>
    <row r="149" customFormat="false" ht="15" hidden="false" customHeight="true" outlineLevel="0" collapsed="false">
      <c r="A149" s="24"/>
      <c r="B149" s="24"/>
      <c r="C149" s="24"/>
      <c r="D149" s="24"/>
      <c r="E149" s="23" t="str">
        <f aca="false">IF(A149="","",IF(B149&lt;&gt;"",LEFT(B149,2),IFERROR(INDEX(Lists!$A$4:$A$40,MATCH(D149,Lists!$B$4:$B$40,0)),"?")))</f>
        <v/>
      </c>
      <c r="F149" s="17" t="str">
        <f aca="false">IF(A149="","",IF(B149&lt;&gt;"","Registered","Unregistered"))</f>
        <v/>
      </c>
    </row>
    <row r="150" customFormat="false" ht="15" hidden="false" customHeight="true" outlineLevel="0" collapsed="false">
      <c r="A150" s="24"/>
      <c r="B150" s="24"/>
      <c r="C150" s="24"/>
      <c r="D150" s="24"/>
      <c r="E150" s="23" t="str">
        <f aca="false">IF(A150="","",IF(B150&lt;&gt;"",LEFT(B150,2),IFERROR(INDEX(Lists!$A$4:$A$40,MATCH(D150,Lists!$B$4:$B$40,0)),"?")))</f>
        <v/>
      </c>
      <c r="F150" s="17" t="str">
        <f aca="false">IF(A150="","",IF(B150&lt;&gt;"","Registered","Unregistered"))</f>
        <v/>
      </c>
    </row>
    <row r="151" customFormat="false" ht="15" hidden="false" customHeight="true" outlineLevel="0" collapsed="false">
      <c r="A151" s="24"/>
      <c r="B151" s="24"/>
      <c r="C151" s="24"/>
      <c r="D151" s="24"/>
      <c r="E151" s="23" t="str">
        <f aca="false">IF(A151="","",IF(B151&lt;&gt;"",LEFT(B151,2),IFERROR(INDEX(Lists!$A$4:$A$40,MATCH(D151,Lists!$B$4:$B$40,0)),"?")))</f>
        <v/>
      </c>
      <c r="F151" s="17" t="str">
        <f aca="false">IF(A151="","",IF(B151&lt;&gt;"","Registered","Unregistered"))</f>
        <v/>
      </c>
    </row>
    <row r="152" customFormat="false" ht="15" hidden="false" customHeight="true" outlineLevel="0" collapsed="false">
      <c r="A152" s="24"/>
      <c r="B152" s="24"/>
      <c r="C152" s="24"/>
      <c r="D152" s="24"/>
      <c r="E152" s="23" t="str">
        <f aca="false">IF(A152="","",IF(B152&lt;&gt;"",LEFT(B152,2),IFERROR(INDEX(Lists!$A$4:$A$40,MATCH(D152,Lists!$B$4:$B$40,0)),"?")))</f>
        <v/>
      </c>
      <c r="F152" s="17" t="str">
        <f aca="false">IF(A152="","",IF(B152&lt;&gt;"","Registered","Unregistered"))</f>
        <v/>
      </c>
    </row>
    <row r="153" customFormat="false" ht="15" hidden="false" customHeight="true" outlineLevel="0" collapsed="false">
      <c r="A153" s="24"/>
      <c r="B153" s="24"/>
      <c r="C153" s="24"/>
      <c r="D153" s="24"/>
      <c r="E153" s="23" t="str">
        <f aca="false">IF(A153="","",IF(B153&lt;&gt;"",LEFT(B153,2),IFERROR(INDEX(Lists!$A$4:$A$40,MATCH(D153,Lists!$B$4:$B$40,0)),"?")))</f>
        <v/>
      </c>
      <c r="F153" s="17" t="str">
        <f aca="false">IF(A153="","",IF(B153&lt;&gt;"","Registered","Unregistered"))</f>
        <v/>
      </c>
    </row>
    <row r="154" customFormat="false" ht="15" hidden="false" customHeight="true" outlineLevel="0" collapsed="false">
      <c r="A154" s="24"/>
      <c r="B154" s="24"/>
      <c r="C154" s="24"/>
      <c r="D154" s="24"/>
      <c r="E154" s="23" t="str">
        <f aca="false">IF(A154="","",IF(B154&lt;&gt;"",LEFT(B154,2),IFERROR(INDEX(Lists!$A$4:$A$40,MATCH(D154,Lists!$B$4:$B$40,0)),"?")))</f>
        <v/>
      </c>
      <c r="F154" s="17" t="str">
        <f aca="false">IF(A154="","",IF(B154&lt;&gt;"","Registered","Unregistered"))</f>
        <v/>
      </c>
    </row>
    <row r="155" customFormat="false" ht="15" hidden="false" customHeight="true" outlineLevel="0" collapsed="false">
      <c r="A155" s="24"/>
      <c r="B155" s="24"/>
      <c r="C155" s="24"/>
      <c r="D155" s="24"/>
      <c r="E155" s="23" t="str">
        <f aca="false">IF(A155="","",IF(B155&lt;&gt;"",LEFT(B155,2),IFERROR(INDEX(Lists!$A$4:$A$40,MATCH(D155,Lists!$B$4:$B$40,0)),"?")))</f>
        <v/>
      </c>
      <c r="F155" s="17" t="str">
        <f aca="false">IF(A155="","",IF(B155&lt;&gt;"","Registered","Unregistered"))</f>
        <v/>
      </c>
    </row>
    <row r="156" customFormat="false" ht="15" hidden="false" customHeight="true" outlineLevel="0" collapsed="false">
      <c r="A156" s="24"/>
      <c r="B156" s="24"/>
      <c r="C156" s="24"/>
      <c r="D156" s="24"/>
      <c r="E156" s="23" t="str">
        <f aca="false">IF(A156="","",IF(B156&lt;&gt;"",LEFT(B156,2),IFERROR(INDEX(Lists!$A$4:$A$40,MATCH(D156,Lists!$B$4:$B$40,0)),"?")))</f>
        <v/>
      </c>
      <c r="F156" s="17" t="str">
        <f aca="false">IF(A156="","",IF(B156&lt;&gt;"","Registered","Unregistered"))</f>
        <v/>
      </c>
    </row>
    <row r="157" customFormat="false" ht="15" hidden="false" customHeight="true" outlineLevel="0" collapsed="false">
      <c r="A157" s="24"/>
      <c r="B157" s="24"/>
      <c r="C157" s="24"/>
      <c r="D157" s="24"/>
      <c r="E157" s="23" t="str">
        <f aca="false">IF(A157="","",IF(B157&lt;&gt;"",LEFT(B157,2),IFERROR(INDEX(Lists!$A$4:$A$40,MATCH(D157,Lists!$B$4:$B$40,0)),"?")))</f>
        <v/>
      </c>
      <c r="F157" s="17" t="str">
        <f aca="false">IF(A157="","",IF(B157&lt;&gt;"","Registered","Unregistered"))</f>
        <v/>
      </c>
    </row>
    <row r="158" customFormat="false" ht="15" hidden="false" customHeight="true" outlineLevel="0" collapsed="false">
      <c r="A158" s="24"/>
      <c r="B158" s="24"/>
      <c r="C158" s="24"/>
      <c r="D158" s="24"/>
      <c r="E158" s="23" t="str">
        <f aca="false">IF(A158="","",IF(B158&lt;&gt;"",LEFT(B158,2),IFERROR(INDEX(Lists!$A$4:$A$40,MATCH(D158,Lists!$B$4:$B$40,0)),"?")))</f>
        <v/>
      </c>
      <c r="F158" s="17" t="str">
        <f aca="false">IF(A158="","",IF(B158&lt;&gt;"","Registered","Unregistered"))</f>
        <v/>
      </c>
    </row>
    <row r="159" customFormat="false" ht="15" hidden="false" customHeight="true" outlineLevel="0" collapsed="false">
      <c r="A159" s="24"/>
      <c r="B159" s="24"/>
      <c r="C159" s="24"/>
      <c r="D159" s="24"/>
      <c r="E159" s="23" t="str">
        <f aca="false">IF(A159="","",IF(B159&lt;&gt;"",LEFT(B159,2),IFERROR(INDEX(Lists!$A$4:$A$40,MATCH(D159,Lists!$B$4:$B$40,0)),"?")))</f>
        <v/>
      </c>
      <c r="F159" s="17" t="str">
        <f aca="false">IF(A159="","",IF(B159&lt;&gt;"","Registered","Unregistered"))</f>
        <v/>
      </c>
    </row>
    <row r="160" customFormat="false" ht="15" hidden="false" customHeight="true" outlineLevel="0" collapsed="false">
      <c r="A160" s="24"/>
      <c r="B160" s="24"/>
      <c r="C160" s="24"/>
      <c r="D160" s="24"/>
      <c r="E160" s="23" t="str">
        <f aca="false">IF(A160="","",IF(B160&lt;&gt;"",LEFT(B160,2),IFERROR(INDEX(Lists!$A$4:$A$40,MATCH(D160,Lists!$B$4:$B$40,0)),"?")))</f>
        <v/>
      </c>
      <c r="F160" s="17" t="str">
        <f aca="false">IF(A160="","",IF(B160&lt;&gt;"","Registered","Unregistered"))</f>
        <v/>
      </c>
    </row>
    <row r="161" customFormat="false" ht="15" hidden="false" customHeight="true" outlineLevel="0" collapsed="false">
      <c r="A161" s="24"/>
      <c r="B161" s="24"/>
      <c r="C161" s="24"/>
      <c r="D161" s="24"/>
      <c r="E161" s="23" t="str">
        <f aca="false">IF(A161="","",IF(B161&lt;&gt;"",LEFT(B161,2),IFERROR(INDEX(Lists!$A$4:$A$40,MATCH(D161,Lists!$B$4:$B$40,0)),"?")))</f>
        <v/>
      </c>
      <c r="F161" s="17" t="str">
        <f aca="false">IF(A161="","",IF(B161&lt;&gt;"","Registered","Unregistered"))</f>
        <v/>
      </c>
    </row>
    <row r="162" customFormat="false" ht="15" hidden="false" customHeight="true" outlineLevel="0" collapsed="false">
      <c r="A162" s="24"/>
      <c r="B162" s="24"/>
      <c r="C162" s="24"/>
      <c r="D162" s="24"/>
      <c r="E162" s="23" t="str">
        <f aca="false">IF(A162="","",IF(B162&lt;&gt;"",LEFT(B162,2),IFERROR(INDEX(Lists!$A$4:$A$40,MATCH(D162,Lists!$B$4:$B$40,0)),"?")))</f>
        <v/>
      </c>
      <c r="F162" s="17" t="str">
        <f aca="false">IF(A162="","",IF(B162&lt;&gt;"","Registered","Unregistered"))</f>
        <v/>
      </c>
    </row>
    <row r="163" customFormat="false" ht="15" hidden="false" customHeight="true" outlineLevel="0" collapsed="false">
      <c r="A163" s="24"/>
      <c r="B163" s="24"/>
      <c r="C163" s="24"/>
      <c r="D163" s="24"/>
      <c r="E163" s="23" t="str">
        <f aca="false">IF(A163="","",IF(B163&lt;&gt;"",LEFT(B163,2),IFERROR(INDEX(Lists!$A$4:$A$40,MATCH(D163,Lists!$B$4:$B$40,0)),"?")))</f>
        <v/>
      </c>
      <c r="F163" s="17" t="str">
        <f aca="false">IF(A163="","",IF(B163&lt;&gt;"","Registered","Unregistered"))</f>
        <v/>
      </c>
    </row>
    <row r="164" customFormat="false" ht="15" hidden="false" customHeight="true" outlineLevel="0" collapsed="false">
      <c r="A164" s="24"/>
      <c r="B164" s="24"/>
      <c r="C164" s="24"/>
      <c r="D164" s="24"/>
      <c r="E164" s="23" t="str">
        <f aca="false">IF(A164="","",IF(B164&lt;&gt;"",LEFT(B164,2),IFERROR(INDEX(Lists!$A$4:$A$40,MATCH(D164,Lists!$B$4:$B$40,0)),"?")))</f>
        <v/>
      </c>
      <c r="F164" s="17" t="str">
        <f aca="false">IF(A164="","",IF(B164&lt;&gt;"","Registered","Unregistered"))</f>
        <v/>
      </c>
    </row>
    <row r="165" customFormat="false" ht="15" hidden="false" customHeight="true" outlineLevel="0" collapsed="false">
      <c r="A165" s="24"/>
      <c r="B165" s="24"/>
      <c r="C165" s="24"/>
      <c r="D165" s="24"/>
      <c r="E165" s="23" t="str">
        <f aca="false">IF(A165="","",IF(B165&lt;&gt;"",LEFT(B165,2),IFERROR(INDEX(Lists!$A$4:$A$40,MATCH(D165,Lists!$B$4:$B$40,0)),"?")))</f>
        <v/>
      </c>
      <c r="F165" s="17" t="str">
        <f aca="false">IF(A165="","",IF(B165&lt;&gt;"","Registered","Unregistered"))</f>
        <v/>
      </c>
    </row>
    <row r="166" customFormat="false" ht="15" hidden="false" customHeight="true" outlineLevel="0" collapsed="false">
      <c r="A166" s="24"/>
      <c r="B166" s="24"/>
      <c r="C166" s="24"/>
      <c r="D166" s="24"/>
      <c r="E166" s="23" t="str">
        <f aca="false">IF(A166="","",IF(B166&lt;&gt;"",LEFT(B166,2),IFERROR(INDEX(Lists!$A$4:$A$40,MATCH(D166,Lists!$B$4:$B$40,0)),"?")))</f>
        <v/>
      </c>
      <c r="F166" s="17" t="str">
        <f aca="false">IF(A166="","",IF(B166&lt;&gt;"","Registered","Unregistered"))</f>
        <v/>
      </c>
    </row>
    <row r="167" customFormat="false" ht="15" hidden="false" customHeight="true" outlineLevel="0" collapsed="false">
      <c r="A167" s="24"/>
      <c r="B167" s="24"/>
      <c r="C167" s="24"/>
      <c r="D167" s="24"/>
      <c r="E167" s="23" t="str">
        <f aca="false">IF(A167="","",IF(B167&lt;&gt;"",LEFT(B167,2),IFERROR(INDEX(Lists!$A$4:$A$40,MATCH(D167,Lists!$B$4:$B$40,0)),"?")))</f>
        <v/>
      </c>
      <c r="F167" s="17" t="str">
        <f aca="false">IF(A167="","",IF(B167&lt;&gt;"","Registered","Unregistered"))</f>
        <v/>
      </c>
    </row>
    <row r="168" customFormat="false" ht="15" hidden="false" customHeight="true" outlineLevel="0" collapsed="false">
      <c r="A168" s="24"/>
      <c r="B168" s="24"/>
      <c r="C168" s="24"/>
      <c r="D168" s="24"/>
      <c r="E168" s="23" t="str">
        <f aca="false">IF(A168="","",IF(B168&lt;&gt;"",LEFT(B168,2),IFERROR(INDEX(Lists!$A$4:$A$40,MATCH(D168,Lists!$B$4:$B$40,0)),"?")))</f>
        <v/>
      </c>
      <c r="F168" s="17" t="str">
        <f aca="false">IF(A168="","",IF(B168&lt;&gt;"","Registered","Unregistered"))</f>
        <v/>
      </c>
    </row>
    <row r="169" customFormat="false" ht="15" hidden="false" customHeight="true" outlineLevel="0" collapsed="false">
      <c r="A169" s="24"/>
      <c r="B169" s="24"/>
      <c r="C169" s="24"/>
      <c r="D169" s="24"/>
      <c r="E169" s="23" t="str">
        <f aca="false">IF(A169="","",IF(B169&lt;&gt;"",LEFT(B169,2),IFERROR(INDEX(Lists!$A$4:$A$40,MATCH(D169,Lists!$B$4:$B$40,0)),"?")))</f>
        <v/>
      </c>
      <c r="F169" s="17" t="str">
        <f aca="false">IF(A169="","",IF(B169&lt;&gt;"","Registered","Unregistered"))</f>
        <v/>
      </c>
    </row>
    <row r="170" customFormat="false" ht="15" hidden="false" customHeight="true" outlineLevel="0" collapsed="false">
      <c r="A170" s="24"/>
      <c r="B170" s="24"/>
      <c r="C170" s="24"/>
      <c r="D170" s="24"/>
      <c r="E170" s="23" t="str">
        <f aca="false">IF(A170="","",IF(B170&lt;&gt;"",LEFT(B170,2),IFERROR(INDEX(Lists!$A$4:$A$40,MATCH(D170,Lists!$B$4:$B$40,0)),"?")))</f>
        <v/>
      </c>
      <c r="F170" s="17" t="str">
        <f aca="false">IF(A170="","",IF(B170&lt;&gt;"","Registered","Unregistered"))</f>
        <v/>
      </c>
    </row>
    <row r="171" customFormat="false" ht="15" hidden="false" customHeight="true" outlineLevel="0" collapsed="false">
      <c r="A171" s="24"/>
      <c r="B171" s="24"/>
      <c r="C171" s="24"/>
      <c r="D171" s="24"/>
      <c r="E171" s="23" t="str">
        <f aca="false">IF(A171="","",IF(B171&lt;&gt;"",LEFT(B171,2),IFERROR(INDEX(Lists!$A$4:$A$40,MATCH(D171,Lists!$B$4:$B$40,0)),"?")))</f>
        <v/>
      </c>
      <c r="F171" s="17" t="str">
        <f aca="false">IF(A171="","",IF(B171&lt;&gt;"","Registered","Unregistered"))</f>
        <v/>
      </c>
    </row>
    <row r="172" customFormat="false" ht="15" hidden="false" customHeight="true" outlineLevel="0" collapsed="false">
      <c r="A172" s="24"/>
      <c r="B172" s="24"/>
      <c r="C172" s="24"/>
      <c r="D172" s="24"/>
      <c r="E172" s="23" t="str">
        <f aca="false">IF(A172="","",IF(B172&lt;&gt;"",LEFT(B172,2),IFERROR(INDEX(Lists!$A$4:$A$40,MATCH(D172,Lists!$B$4:$B$40,0)),"?")))</f>
        <v/>
      </c>
      <c r="F172" s="17" t="str">
        <f aca="false">IF(A172="","",IF(B172&lt;&gt;"","Registered","Unregistered"))</f>
        <v/>
      </c>
    </row>
    <row r="173" customFormat="false" ht="15" hidden="false" customHeight="true" outlineLevel="0" collapsed="false">
      <c r="A173" s="24"/>
      <c r="B173" s="24"/>
      <c r="C173" s="24"/>
      <c r="D173" s="24"/>
      <c r="E173" s="23" t="str">
        <f aca="false">IF(A173="","",IF(B173&lt;&gt;"",LEFT(B173,2),IFERROR(INDEX(Lists!$A$4:$A$40,MATCH(D173,Lists!$B$4:$B$40,0)),"?")))</f>
        <v/>
      </c>
      <c r="F173" s="17" t="str">
        <f aca="false">IF(A173="","",IF(B173&lt;&gt;"","Registered","Unregistered"))</f>
        <v/>
      </c>
    </row>
    <row r="174" customFormat="false" ht="15" hidden="false" customHeight="true" outlineLevel="0" collapsed="false">
      <c r="A174" s="24"/>
      <c r="B174" s="24"/>
      <c r="C174" s="24"/>
      <c r="D174" s="24"/>
      <c r="E174" s="23" t="str">
        <f aca="false">IF(A174="","",IF(B174&lt;&gt;"",LEFT(B174,2),IFERROR(INDEX(Lists!$A$4:$A$40,MATCH(D174,Lists!$B$4:$B$40,0)),"?")))</f>
        <v/>
      </c>
      <c r="F174" s="17" t="str">
        <f aca="false">IF(A174="","",IF(B174&lt;&gt;"","Registered","Unregistered"))</f>
        <v/>
      </c>
    </row>
    <row r="175" customFormat="false" ht="15" hidden="false" customHeight="true" outlineLevel="0" collapsed="false">
      <c r="A175" s="24"/>
      <c r="B175" s="24"/>
      <c r="C175" s="24"/>
      <c r="D175" s="24"/>
      <c r="E175" s="23" t="str">
        <f aca="false">IF(A175="","",IF(B175&lt;&gt;"",LEFT(B175,2),IFERROR(INDEX(Lists!$A$4:$A$40,MATCH(D175,Lists!$B$4:$B$40,0)),"?")))</f>
        <v/>
      </c>
      <c r="F175" s="17" t="str">
        <f aca="false">IF(A175="","",IF(B175&lt;&gt;"","Registered","Unregistered"))</f>
        <v/>
      </c>
    </row>
    <row r="176" customFormat="false" ht="15" hidden="false" customHeight="true" outlineLevel="0" collapsed="false">
      <c r="A176" s="24"/>
      <c r="B176" s="24"/>
      <c r="C176" s="24"/>
      <c r="D176" s="24"/>
      <c r="E176" s="23" t="str">
        <f aca="false">IF(A176="","",IF(B176&lt;&gt;"",LEFT(B176,2),IFERROR(INDEX(Lists!$A$4:$A$40,MATCH(D176,Lists!$B$4:$B$40,0)),"?")))</f>
        <v/>
      </c>
      <c r="F176" s="17" t="str">
        <f aca="false">IF(A176="","",IF(B176&lt;&gt;"","Registered","Unregistered"))</f>
        <v/>
      </c>
    </row>
    <row r="177" customFormat="false" ht="15" hidden="false" customHeight="true" outlineLevel="0" collapsed="false">
      <c r="A177" s="24"/>
      <c r="B177" s="24"/>
      <c r="C177" s="24"/>
      <c r="D177" s="24"/>
      <c r="E177" s="23" t="str">
        <f aca="false">IF(A177="","",IF(B177&lt;&gt;"",LEFT(B177,2),IFERROR(INDEX(Lists!$A$4:$A$40,MATCH(D177,Lists!$B$4:$B$40,0)),"?")))</f>
        <v/>
      </c>
      <c r="F177" s="17" t="str">
        <f aca="false">IF(A177="","",IF(B177&lt;&gt;"","Registered","Unregistered"))</f>
        <v/>
      </c>
    </row>
    <row r="178" customFormat="false" ht="15" hidden="false" customHeight="true" outlineLevel="0" collapsed="false">
      <c r="A178" s="24"/>
      <c r="B178" s="24"/>
      <c r="C178" s="24"/>
      <c r="D178" s="24"/>
      <c r="E178" s="23" t="str">
        <f aca="false">IF(A178="","",IF(B178&lt;&gt;"",LEFT(B178,2),IFERROR(INDEX(Lists!$A$4:$A$40,MATCH(D178,Lists!$B$4:$B$40,0)),"?")))</f>
        <v/>
      </c>
      <c r="F178" s="17" t="str">
        <f aca="false">IF(A178="","",IF(B178&lt;&gt;"","Registered","Unregistered"))</f>
        <v/>
      </c>
    </row>
    <row r="179" customFormat="false" ht="15" hidden="false" customHeight="true" outlineLevel="0" collapsed="false">
      <c r="A179" s="24"/>
      <c r="B179" s="24"/>
      <c r="C179" s="24"/>
      <c r="D179" s="24"/>
      <c r="E179" s="23" t="str">
        <f aca="false">IF(A179="","",IF(B179&lt;&gt;"",LEFT(B179,2),IFERROR(INDEX(Lists!$A$4:$A$40,MATCH(D179,Lists!$B$4:$B$40,0)),"?")))</f>
        <v/>
      </c>
      <c r="F179" s="17" t="str">
        <f aca="false">IF(A179="","",IF(B179&lt;&gt;"","Registered","Unregistered"))</f>
        <v/>
      </c>
    </row>
    <row r="180" customFormat="false" ht="15" hidden="false" customHeight="true" outlineLevel="0" collapsed="false">
      <c r="A180" s="24"/>
      <c r="B180" s="24"/>
      <c r="C180" s="24"/>
      <c r="D180" s="24"/>
      <c r="E180" s="23" t="str">
        <f aca="false">IF(A180="","",IF(B180&lt;&gt;"",LEFT(B180,2),IFERROR(INDEX(Lists!$A$4:$A$40,MATCH(D180,Lists!$B$4:$B$40,0)),"?")))</f>
        <v/>
      </c>
      <c r="F180" s="17" t="str">
        <f aca="false">IF(A180="","",IF(B180&lt;&gt;"","Registered","Unregistered"))</f>
        <v/>
      </c>
    </row>
    <row r="181" customFormat="false" ht="15" hidden="false" customHeight="true" outlineLevel="0" collapsed="false">
      <c r="A181" s="24"/>
      <c r="B181" s="24"/>
      <c r="C181" s="24"/>
      <c r="D181" s="24"/>
      <c r="E181" s="23" t="str">
        <f aca="false">IF(A181="","",IF(B181&lt;&gt;"",LEFT(B181,2),IFERROR(INDEX(Lists!$A$4:$A$40,MATCH(D181,Lists!$B$4:$B$40,0)),"?")))</f>
        <v/>
      </c>
      <c r="F181" s="17" t="str">
        <f aca="false">IF(A181="","",IF(B181&lt;&gt;"","Registered","Unregistered"))</f>
        <v/>
      </c>
    </row>
    <row r="182" customFormat="false" ht="15" hidden="false" customHeight="true" outlineLevel="0" collapsed="false">
      <c r="A182" s="24"/>
      <c r="B182" s="24"/>
      <c r="C182" s="24"/>
      <c r="D182" s="24"/>
      <c r="E182" s="23" t="str">
        <f aca="false">IF(A182="","",IF(B182&lt;&gt;"",LEFT(B182,2),IFERROR(INDEX(Lists!$A$4:$A$40,MATCH(D182,Lists!$B$4:$B$40,0)),"?")))</f>
        <v/>
      </c>
      <c r="F182" s="17" t="str">
        <f aca="false">IF(A182="","",IF(B182&lt;&gt;"","Registered","Unregistered"))</f>
        <v/>
      </c>
    </row>
    <row r="183" customFormat="false" ht="15" hidden="false" customHeight="true" outlineLevel="0" collapsed="false">
      <c r="A183" s="24"/>
      <c r="B183" s="24"/>
      <c r="C183" s="24"/>
      <c r="D183" s="24"/>
      <c r="E183" s="23" t="str">
        <f aca="false">IF(A183="","",IF(B183&lt;&gt;"",LEFT(B183,2),IFERROR(INDEX(Lists!$A$4:$A$40,MATCH(D183,Lists!$B$4:$B$40,0)),"?")))</f>
        <v/>
      </c>
      <c r="F183" s="17" t="str">
        <f aca="false">IF(A183="","",IF(B183&lt;&gt;"","Registered","Unregistered"))</f>
        <v/>
      </c>
    </row>
    <row r="184" customFormat="false" ht="15" hidden="false" customHeight="true" outlineLevel="0" collapsed="false">
      <c r="A184" s="24"/>
      <c r="B184" s="24"/>
      <c r="C184" s="24"/>
      <c r="D184" s="24"/>
      <c r="E184" s="23" t="str">
        <f aca="false">IF(A184="","",IF(B184&lt;&gt;"",LEFT(B184,2),IFERROR(INDEX(Lists!$A$4:$A$40,MATCH(D184,Lists!$B$4:$B$40,0)),"?")))</f>
        <v/>
      </c>
      <c r="F184" s="17" t="str">
        <f aca="false">IF(A184="","",IF(B184&lt;&gt;"","Registered","Unregistered"))</f>
        <v/>
      </c>
    </row>
    <row r="185" customFormat="false" ht="15" hidden="false" customHeight="true" outlineLevel="0" collapsed="false">
      <c r="A185" s="24"/>
      <c r="B185" s="24"/>
      <c r="C185" s="24"/>
      <c r="D185" s="24"/>
      <c r="E185" s="23" t="str">
        <f aca="false">IF(A185="","",IF(B185&lt;&gt;"",LEFT(B185,2),IFERROR(INDEX(Lists!$A$4:$A$40,MATCH(D185,Lists!$B$4:$B$40,0)),"?")))</f>
        <v/>
      </c>
      <c r="F185" s="17" t="str">
        <f aca="false">IF(A185="","",IF(B185&lt;&gt;"","Registered","Unregistered"))</f>
        <v/>
      </c>
    </row>
    <row r="186" customFormat="false" ht="15" hidden="false" customHeight="true" outlineLevel="0" collapsed="false">
      <c r="A186" s="24"/>
      <c r="B186" s="24"/>
      <c r="C186" s="24"/>
      <c r="D186" s="24"/>
      <c r="E186" s="23" t="str">
        <f aca="false">IF(A186="","",IF(B186&lt;&gt;"",LEFT(B186,2),IFERROR(INDEX(Lists!$A$4:$A$40,MATCH(D186,Lists!$B$4:$B$40,0)),"?")))</f>
        <v/>
      </c>
      <c r="F186" s="17" t="str">
        <f aca="false">IF(A186="","",IF(B186&lt;&gt;"","Registered","Unregistered"))</f>
        <v/>
      </c>
    </row>
    <row r="187" customFormat="false" ht="15" hidden="false" customHeight="true" outlineLevel="0" collapsed="false">
      <c r="A187" s="24"/>
      <c r="B187" s="24"/>
      <c r="C187" s="24"/>
      <c r="D187" s="24"/>
      <c r="E187" s="23" t="str">
        <f aca="false">IF(A187="","",IF(B187&lt;&gt;"",LEFT(B187,2),IFERROR(INDEX(Lists!$A$4:$A$40,MATCH(D187,Lists!$B$4:$B$40,0)),"?")))</f>
        <v/>
      </c>
      <c r="F187" s="17" t="str">
        <f aca="false">IF(A187="","",IF(B187&lt;&gt;"","Registered","Unregistered"))</f>
        <v/>
      </c>
    </row>
    <row r="188" customFormat="false" ht="15" hidden="false" customHeight="true" outlineLevel="0" collapsed="false">
      <c r="A188" s="24"/>
      <c r="B188" s="24"/>
      <c r="C188" s="24"/>
      <c r="D188" s="24"/>
      <c r="E188" s="23" t="str">
        <f aca="false">IF(A188="","",IF(B188&lt;&gt;"",LEFT(B188,2),IFERROR(INDEX(Lists!$A$4:$A$40,MATCH(D188,Lists!$B$4:$B$40,0)),"?")))</f>
        <v/>
      </c>
      <c r="F188" s="17" t="str">
        <f aca="false">IF(A188="","",IF(B188&lt;&gt;"","Registered","Unregistered"))</f>
        <v/>
      </c>
    </row>
    <row r="189" customFormat="false" ht="15" hidden="false" customHeight="true" outlineLevel="0" collapsed="false">
      <c r="A189" s="24"/>
      <c r="B189" s="24"/>
      <c r="C189" s="24"/>
      <c r="D189" s="24"/>
      <c r="E189" s="23" t="str">
        <f aca="false">IF(A189="","",IF(B189&lt;&gt;"",LEFT(B189,2),IFERROR(INDEX(Lists!$A$4:$A$40,MATCH(D189,Lists!$B$4:$B$40,0)),"?")))</f>
        <v/>
      </c>
      <c r="F189" s="17" t="str">
        <f aca="false">IF(A189="","",IF(B189&lt;&gt;"","Registered","Unregistered"))</f>
        <v/>
      </c>
    </row>
    <row r="190" customFormat="false" ht="15" hidden="false" customHeight="true" outlineLevel="0" collapsed="false">
      <c r="A190" s="24"/>
      <c r="B190" s="24"/>
      <c r="C190" s="24"/>
      <c r="D190" s="24"/>
      <c r="E190" s="23" t="str">
        <f aca="false">IF(A190="","",IF(B190&lt;&gt;"",LEFT(B190,2),IFERROR(INDEX(Lists!$A$4:$A$40,MATCH(D190,Lists!$B$4:$B$40,0)),"?")))</f>
        <v/>
      </c>
      <c r="F190" s="17" t="str">
        <f aca="false">IF(A190="","",IF(B190&lt;&gt;"","Registered","Unregistered"))</f>
        <v/>
      </c>
    </row>
    <row r="191" customFormat="false" ht="15" hidden="false" customHeight="true" outlineLevel="0" collapsed="false">
      <c r="A191" s="24"/>
      <c r="B191" s="24"/>
      <c r="C191" s="24"/>
      <c r="D191" s="24"/>
      <c r="E191" s="23" t="str">
        <f aca="false">IF(A191="","",IF(B191&lt;&gt;"",LEFT(B191,2),IFERROR(INDEX(Lists!$A$4:$A$40,MATCH(D191,Lists!$B$4:$B$40,0)),"?")))</f>
        <v/>
      </c>
      <c r="F191" s="17" t="str">
        <f aca="false">IF(A191="","",IF(B191&lt;&gt;"","Registered","Unregistered"))</f>
        <v/>
      </c>
    </row>
    <row r="192" customFormat="false" ht="15" hidden="false" customHeight="true" outlineLevel="0" collapsed="false">
      <c r="A192" s="24"/>
      <c r="B192" s="24"/>
      <c r="C192" s="24"/>
      <c r="D192" s="24"/>
      <c r="E192" s="23" t="str">
        <f aca="false">IF(A192="","",IF(B192&lt;&gt;"",LEFT(B192,2),IFERROR(INDEX(Lists!$A$4:$A$40,MATCH(D192,Lists!$B$4:$B$40,0)),"?")))</f>
        <v/>
      </c>
      <c r="F192" s="17" t="str">
        <f aca="false">IF(A192="","",IF(B192&lt;&gt;"","Registered","Unregistered"))</f>
        <v/>
      </c>
    </row>
    <row r="193" customFormat="false" ht="15" hidden="false" customHeight="true" outlineLevel="0" collapsed="false">
      <c r="A193" s="24"/>
      <c r="B193" s="24"/>
      <c r="C193" s="24"/>
      <c r="D193" s="24"/>
      <c r="E193" s="23" t="str">
        <f aca="false">IF(A193="","",IF(B193&lt;&gt;"",LEFT(B193,2),IFERROR(INDEX(Lists!$A$4:$A$40,MATCH(D193,Lists!$B$4:$B$40,0)),"?")))</f>
        <v/>
      </c>
      <c r="F193" s="17" t="str">
        <f aca="false">IF(A193="","",IF(B193&lt;&gt;"","Registered","Unregistered"))</f>
        <v/>
      </c>
    </row>
    <row r="194" customFormat="false" ht="15" hidden="false" customHeight="true" outlineLevel="0" collapsed="false">
      <c r="A194" s="24"/>
      <c r="B194" s="24"/>
      <c r="C194" s="24"/>
      <c r="D194" s="24"/>
      <c r="E194" s="23" t="str">
        <f aca="false">IF(A194="","",IF(B194&lt;&gt;"",LEFT(B194,2),IFERROR(INDEX(Lists!$A$4:$A$40,MATCH(D194,Lists!$B$4:$B$40,0)),"?")))</f>
        <v/>
      </c>
      <c r="F194" s="17" t="str">
        <f aca="false">IF(A194="","",IF(B194&lt;&gt;"","Registered","Unregistered"))</f>
        <v/>
      </c>
    </row>
    <row r="195" customFormat="false" ht="15" hidden="false" customHeight="true" outlineLevel="0" collapsed="false">
      <c r="A195" s="24"/>
      <c r="B195" s="24"/>
      <c r="C195" s="24"/>
      <c r="D195" s="24"/>
      <c r="E195" s="23" t="str">
        <f aca="false">IF(A195="","",IF(B195&lt;&gt;"",LEFT(B195,2),IFERROR(INDEX(Lists!$A$4:$A$40,MATCH(D195,Lists!$B$4:$B$40,0)),"?")))</f>
        <v/>
      </c>
      <c r="F195" s="17" t="str">
        <f aca="false">IF(A195="","",IF(B195&lt;&gt;"","Registered","Unregistered"))</f>
        <v/>
      </c>
    </row>
    <row r="196" customFormat="false" ht="15" hidden="false" customHeight="true" outlineLevel="0" collapsed="false">
      <c r="A196" s="24"/>
      <c r="B196" s="24"/>
      <c r="C196" s="24"/>
      <c r="D196" s="24"/>
      <c r="E196" s="23" t="str">
        <f aca="false">IF(A196="","",IF(B196&lt;&gt;"",LEFT(B196,2),IFERROR(INDEX(Lists!$A$4:$A$40,MATCH(D196,Lists!$B$4:$B$40,0)),"?")))</f>
        <v/>
      </c>
      <c r="F196" s="17" t="str">
        <f aca="false">IF(A196="","",IF(B196&lt;&gt;"","Registered","Unregistered"))</f>
        <v/>
      </c>
    </row>
    <row r="197" customFormat="false" ht="15" hidden="false" customHeight="true" outlineLevel="0" collapsed="false">
      <c r="A197" s="24"/>
      <c r="B197" s="24"/>
      <c r="C197" s="24"/>
      <c r="D197" s="24"/>
      <c r="E197" s="23" t="str">
        <f aca="false">IF(A197="","",IF(B197&lt;&gt;"",LEFT(B197,2),IFERROR(INDEX(Lists!$A$4:$A$40,MATCH(D197,Lists!$B$4:$B$40,0)),"?")))</f>
        <v/>
      </c>
      <c r="F197" s="17" t="str">
        <f aca="false">IF(A197="","",IF(B197&lt;&gt;"","Registered","Unregistered"))</f>
        <v/>
      </c>
    </row>
    <row r="198" customFormat="false" ht="15" hidden="false" customHeight="true" outlineLevel="0" collapsed="false">
      <c r="A198" s="24"/>
      <c r="B198" s="24"/>
      <c r="C198" s="24"/>
      <c r="D198" s="24"/>
      <c r="E198" s="23" t="str">
        <f aca="false">IF(A198="","",IF(B198&lt;&gt;"",LEFT(B198,2),IFERROR(INDEX(Lists!$A$4:$A$40,MATCH(D198,Lists!$B$4:$B$40,0)),"?")))</f>
        <v/>
      </c>
      <c r="F198" s="17" t="str">
        <f aca="false">IF(A198="","",IF(B198&lt;&gt;"","Registered","Unregistered"))</f>
        <v/>
      </c>
    </row>
    <row r="199" customFormat="false" ht="15" hidden="false" customHeight="true" outlineLevel="0" collapsed="false">
      <c r="A199" s="24"/>
      <c r="B199" s="24"/>
      <c r="C199" s="24"/>
      <c r="D199" s="24"/>
      <c r="E199" s="23" t="str">
        <f aca="false">IF(A199="","",IF(B199&lt;&gt;"",LEFT(B199,2),IFERROR(INDEX(Lists!$A$4:$A$40,MATCH(D199,Lists!$B$4:$B$40,0)),"?")))</f>
        <v/>
      </c>
      <c r="F199" s="17" t="str">
        <f aca="false">IF(A199="","",IF(B199&lt;&gt;"","Registered","Unregistered"))</f>
        <v/>
      </c>
    </row>
    <row r="200" customFormat="false" ht="15" hidden="false" customHeight="true" outlineLevel="0" collapsed="false">
      <c r="A200" s="24"/>
      <c r="B200" s="24"/>
      <c r="C200" s="24"/>
      <c r="D200" s="24"/>
      <c r="E200" s="23" t="str">
        <f aca="false">IF(A200="","",IF(B200&lt;&gt;"",LEFT(B200,2),IFERROR(INDEX(Lists!$A$4:$A$40,MATCH(D200,Lists!$B$4:$B$40,0)),"?")))</f>
        <v/>
      </c>
      <c r="F200" s="17" t="str">
        <f aca="false">IF(A200="","",IF(B200&lt;&gt;"","Registered","Unregistered"))</f>
        <v/>
      </c>
    </row>
    <row r="201" customFormat="false" ht="15" hidden="false" customHeight="true" outlineLevel="0" collapsed="false">
      <c r="A201" s="24"/>
      <c r="B201" s="24"/>
      <c r="C201" s="24"/>
      <c r="D201" s="24"/>
      <c r="E201" s="23" t="str">
        <f aca="false">IF(A201="","",IF(B201&lt;&gt;"",LEFT(B201,2),IFERROR(INDEX(Lists!$A$4:$A$40,MATCH(D201,Lists!$B$4:$B$40,0)),"?")))</f>
        <v/>
      </c>
      <c r="F201" s="17" t="str">
        <f aca="false">IF(A201="","",IF(B201&lt;&gt;"","Registered","Unregistered"))</f>
        <v/>
      </c>
    </row>
    <row r="202" customFormat="false" ht="15" hidden="false" customHeight="true" outlineLevel="0" collapsed="false">
      <c r="A202" s="24"/>
      <c r="B202" s="24"/>
      <c r="C202" s="24"/>
      <c r="D202" s="24"/>
      <c r="E202" s="23" t="str">
        <f aca="false">IF(A202="","",IF(B202&lt;&gt;"",LEFT(B202,2),IFERROR(INDEX(Lists!$A$4:$A$40,MATCH(D202,Lists!$B$4:$B$40,0)),"?")))</f>
        <v/>
      </c>
      <c r="F202" s="17" t="str">
        <f aca="false">IF(A202="","",IF(B202&lt;&gt;"","Registered","Unregistered"))</f>
        <v/>
      </c>
    </row>
    <row r="203" customFormat="false" ht="15" hidden="false" customHeight="true" outlineLevel="0" collapsed="false">
      <c r="A203" s="24"/>
      <c r="B203" s="24"/>
      <c r="C203" s="24"/>
      <c r="D203" s="24"/>
      <c r="E203" s="23" t="str">
        <f aca="false">IF(A203="","",IF(B203&lt;&gt;"",LEFT(B203,2),IFERROR(INDEX(Lists!$A$4:$A$40,MATCH(D203,Lists!$B$4:$B$40,0)),"?")))</f>
        <v/>
      </c>
      <c r="F203" s="17" t="str">
        <f aca="false">IF(A203="","",IF(B203&lt;&gt;"","Registered","Unregistered"))</f>
        <v/>
      </c>
    </row>
    <row r="204" customFormat="false" ht="15" hidden="false" customHeight="true" outlineLevel="0" collapsed="false">
      <c r="A204" s="24"/>
      <c r="B204" s="24"/>
      <c r="C204" s="24"/>
      <c r="D204" s="24"/>
      <c r="E204" s="23" t="str">
        <f aca="false">IF(A204="","",IF(B204&lt;&gt;"",LEFT(B204,2),IFERROR(INDEX(Lists!$A$4:$A$40,MATCH(D204,Lists!$B$4:$B$40,0)),"?")))</f>
        <v/>
      </c>
      <c r="F204" s="17" t="str">
        <f aca="false">IF(A204="","",IF(B204&lt;&gt;"","Registered","Unregistered"))</f>
        <v/>
      </c>
    </row>
  </sheetData>
  <dataValidations count="1">
    <dataValidation allowBlank="true" errorStyle="stop" operator="between" showDropDown="false" showErrorMessage="false" showInputMessage="false" sqref="D5:D204" type="list">
      <formula1>Lists!$B$4:$B$40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E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1"/>
    <col collapsed="false" customWidth="true" hidden="false" outlineLevel="0" max="3" min="3" style="1" width="8"/>
    <col collapsed="false" customWidth="true" hidden="false" outlineLevel="0" max="4" min="4" style="1" width="12"/>
    <col collapsed="false" customWidth="true" hidden="false" outlineLevel="0" max="5" min="5" style="1" width="9"/>
  </cols>
  <sheetData>
    <row r="1" customFormat="false" ht="21.75" hidden="false" customHeight="true" outlineLevel="0" collapsed="false">
      <c r="A1" s="13" t="s">
        <v>109</v>
      </c>
      <c r="E1" s="14" t="s">
        <v>58</v>
      </c>
    </row>
    <row r="2" customFormat="false" ht="15" hidden="false" customHeight="true" outlineLevel="0" collapsed="false">
      <c r="A2" s="3" t="s">
        <v>110</v>
      </c>
    </row>
    <row r="4" customFormat="false" ht="21.75" hidden="false" customHeight="true" outlineLevel="0" collapsed="false">
      <c r="A4" s="21" t="s">
        <v>111</v>
      </c>
      <c r="B4" s="22" t="s">
        <v>112</v>
      </c>
      <c r="C4" s="22" t="s">
        <v>113</v>
      </c>
      <c r="D4" s="22" t="s">
        <v>114</v>
      </c>
      <c r="E4" s="22" t="s">
        <v>115</v>
      </c>
    </row>
    <row r="5" customFormat="false" ht="15" hidden="false" customHeight="true" outlineLevel="0" collapsed="false">
      <c r="A5" s="19" t="s">
        <v>116</v>
      </c>
      <c r="B5" s="25" t="s">
        <v>117</v>
      </c>
      <c r="C5" s="19" t="s">
        <v>118</v>
      </c>
      <c r="D5" s="26" t="n">
        <v>1850</v>
      </c>
      <c r="E5" s="27" t="n">
        <v>0.18</v>
      </c>
    </row>
    <row r="6" customFormat="false" ht="15" hidden="false" customHeight="true" outlineLevel="0" collapsed="false">
      <c r="A6" s="19" t="s">
        <v>119</v>
      </c>
      <c r="B6" s="25" t="s">
        <v>120</v>
      </c>
      <c r="C6" s="19" t="s">
        <v>118</v>
      </c>
      <c r="D6" s="26" t="n">
        <v>4200</v>
      </c>
      <c r="E6" s="27" t="n">
        <v>0.18</v>
      </c>
    </row>
    <row r="7" customFormat="false" ht="15" hidden="false" customHeight="true" outlineLevel="0" collapsed="false">
      <c r="A7" s="19" t="s">
        <v>121</v>
      </c>
      <c r="B7" s="25" t="s">
        <v>122</v>
      </c>
      <c r="C7" s="19" t="s">
        <v>123</v>
      </c>
      <c r="D7" s="26" t="n">
        <v>1200</v>
      </c>
      <c r="E7" s="27" t="n">
        <v>0.18</v>
      </c>
    </row>
    <row r="8" customFormat="false" ht="15" hidden="false" customHeight="true" outlineLevel="0" collapsed="false">
      <c r="A8" s="19" t="s">
        <v>124</v>
      </c>
      <c r="B8" s="25" t="s">
        <v>125</v>
      </c>
      <c r="C8" s="19" t="s">
        <v>126</v>
      </c>
      <c r="D8" s="26" t="n">
        <v>950</v>
      </c>
      <c r="E8" s="27" t="n">
        <v>0.18</v>
      </c>
    </row>
    <row r="9" customFormat="false" ht="15" hidden="false" customHeight="true" outlineLevel="0" collapsed="false">
      <c r="A9" s="19" t="s">
        <v>127</v>
      </c>
      <c r="B9" s="25" t="s">
        <v>128</v>
      </c>
      <c r="C9" s="19" t="s">
        <v>118</v>
      </c>
      <c r="D9" s="26" t="n">
        <v>2600</v>
      </c>
      <c r="E9" s="27" t="n">
        <v>0.05</v>
      </c>
    </row>
    <row r="10" customFormat="false" ht="15" hidden="false" customHeight="true" outlineLevel="0" collapsed="false">
      <c r="A10" s="19" t="s">
        <v>129</v>
      </c>
      <c r="B10" s="25" t="s">
        <v>130</v>
      </c>
      <c r="C10" s="19" t="s">
        <v>131</v>
      </c>
      <c r="D10" s="26" t="n">
        <v>3500</v>
      </c>
      <c r="E10" s="27" t="n">
        <v>0.18</v>
      </c>
    </row>
    <row r="11" customFormat="false" ht="15" hidden="false" customHeight="true" outlineLevel="0" collapsed="false">
      <c r="A11" s="24"/>
      <c r="B11" s="28"/>
      <c r="C11" s="24"/>
      <c r="D11" s="29"/>
      <c r="E11" s="30"/>
    </row>
    <row r="12" customFormat="false" ht="15" hidden="false" customHeight="true" outlineLevel="0" collapsed="false">
      <c r="A12" s="24"/>
      <c r="B12" s="28"/>
      <c r="C12" s="24"/>
      <c r="D12" s="29"/>
      <c r="E12" s="30"/>
    </row>
    <row r="13" customFormat="false" ht="15" hidden="false" customHeight="true" outlineLevel="0" collapsed="false">
      <c r="A13" s="24"/>
      <c r="B13" s="28"/>
      <c r="C13" s="24"/>
      <c r="D13" s="29"/>
      <c r="E13" s="30"/>
    </row>
    <row r="14" customFormat="false" ht="15" hidden="false" customHeight="true" outlineLevel="0" collapsed="false">
      <c r="A14" s="24"/>
      <c r="B14" s="28"/>
      <c r="C14" s="24"/>
      <c r="D14" s="29"/>
      <c r="E14" s="30"/>
    </row>
    <row r="15" customFormat="false" ht="15" hidden="false" customHeight="true" outlineLevel="0" collapsed="false">
      <c r="A15" s="24"/>
      <c r="B15" s="28"/>
      <c r="C15" s="24"/>
      <c r="D15" s="29"/>
      <c r="E15" s="30"/>
    </row>
    <row r="16" customFormat="false" ht="15" hidden="false" customHeight="true" outlineLevel="0" collapsed="false">
      <c r="A16" s="24"/>
      <c r="B16" s="28"/>
      <c r="C16" s="24"/>
      <c r="D16" s="29"/>
      <c r="E16" s="30"/>
    </row>
    <row r="17" customFormat="false" ht="15" hidden="false" customHeight="true" outlineLevel="0" collapsed="false">
      <c r="A17" s="24"/>
      <c r="B17" s="28"/>
      <c r="C17" s="24"/>
      <c r="D17" s="29"/>
      <c r="E17" s="30"/>
    </row>
    <row r="18" customFormat="false" ht="15" hidden="false" customHeight="true" outlineLevel="0" collapsed="false">
      <c r="A18" s="24"/>
      <c r="B18" s="28"/>
      <c r="C18" s="24"/>
      <c r="D18" s="29"/>
      <c r="E18" s="30"/>
    </row>
    <row r="19" customFormat="false" ht="15" hidden="false" customHeight="true" outlineLevel="0" collapsed="false">
      <c r="A19" s="24"/>
      <c r="B19" s="28"/>
      <c r="C19" s="24"/>
      <c r="D19" s="29"/>
      <c r="E19" s="30"/>
    </row>
    <row r="20" customFormat="false" ht="15" hidden="false" customHeight="true" outlineLevel="0" collapsed="false">
      <c r="A20" s="24"/>
      <c r="B20" s="28"/>
      <c r="C20" s="24"/>
      <c r="D20" s="29"/>
      <c r="E20" s="30"/>
    </row>
    <row r="21" customFormat="false" ht="15" hidden="false" customHeight="true" outlineLevel="0" collapsed="false">
      <c r="A21" s="24"/>
      <c r="B21" s="28"/>
      <c r="C21" s="24"/>
      <c r="D21" s="29"/>
      <c r="E21" s="30"/>
    </row>
    <row r="22" customFormat="false" ht="15" hidden="false" customHeight="true" outlineLevel="0" collapsed="false">
      <c r="A22" s="24"/>
      <c r="B22" s="28"/>
      <c r="C22" s="24"/>
      <c r="D22" s="29"/>
      <c r="E22" s="30"/>
    </row>
    <row r="23" customFormat="false" ht="15" hidden="false" customHeight="true" outlineLevel="0" collapsed="false">
      <c r="A23" s="24"/>
      <c r="B23" s="28"/>
      <c r="C23" s="24"/>
      <c r="D23" s="29"/>
      <c r="E23" s="30"/>
    </row>
    <row r="24" customFormat="false" ht="15" hidden="false" customHeight="true" outlineLevel="0" collapsed="false">
      <c r="A24" s="24"/>
      <c r="B24" s="28"/>
      <c r="C24" s="24"/>
      <c r="D24" s="29"/>
      <c r="E24" s="30"/>
    </row>
    <row r="25" customFormat="false" ht="15" hidden="false" customHeight="true" outlineLevel="0" collapsed="false">
      <c r="A25" s="24"/>
      <c r="B25" s="28"/>
      <c r="C25" s="24"/>
      <c r="D25" s="29"/>
      <c r="E25" s="30"/>
    </row>
    <row r="26" customFormat="false" ht="15" hidden="false" customHeight="true" outlineLevel="0" collapsed="false">
      <c r="A26" s="24"/>
      <c r="B26" s="28"/>
      <c r="C26" s="24"/>
      <c r="D26" s="29"/>
      <c r="E26" s="30"/>
    </row>
    <row r="27" customFormat="false" ht="15" hidden="false" customHeight="true" outlineLevel="0" collapsed="false">
      <c r="A27" s="24"/>
      <c r="B27" s="28"/>
      <c r="C27" s="24"/>
      <c r="D27" s="29"/>
      <c r="E27" s="30"/>
    </row>
    <row r="28" customFormat="false" ht="15" hidden="false" customHeight="true" outlineLevel="0" collapsed="false">
      <c r="A28" s="24"/>
      <c r="B28" s="28"/>
      <c r="C28" s="24"/>
      <c r="D28" s="29"/>
      <c r="E28" s="30"/>
    </row>
    <row r="29" customFormat="false" ht="15" hidden="false" customHeight="true" outlineLevel="0" collapsed="false">
      <c r="A29" s="24"/>
      <c r="B29" s="28"/>
      <c r="C29" s="24"/>
      <c r="D29" s="29"/>
      <c r="E29" s="30"/>
    </row>
    <row r="30" customFormat="false" ht="15" hidden="false" customHeight="true" outlineLevel="0" collapsed="false">
      <c r="A30" s="24"/>
      <c r="B30" s="28"/>
      <c r="C30" s="24"/>
      <c r="D30" s="29"/>
      <c r="E30" s="30"/>
    </row>
    <row r="31" customFormat="false" ht="15" hidden="false" customHeight="true" outlineLevel="0" collapsed="false">
      <c r="A31" s="24"/>
      <c r="B31" s="28"/>
      <c r="C31" s="24"/>
      <c r="D31" s="29"/>
      <c r="E31" s="30"/>
    </row>
    <row r="32" customFormat="false" ht="15" hidden="false" customHeight="true" outlineLevel="0" collapsed="false">
      <c r="A32" s="24"/>
      <c r="B32" s="28"/>
      <c r="C32" s="24"/>
      <c r="D32" s="29"/>
      <c r="E32" s="30"/>
    </row>
    <row r="33" customFormat="false" ht="15" hidden="false" customHeight="true" outlineLevel="0" collapsed="false">
      <c r="A33" s="24"/>
      <c r="B33" s="28"/>
      <c r="C33" s="24"/>
      <c r="D33" s="29"/>
      <c r="E33" s="30"/>
    </row>
    <row r="34" customFormat="false" ht="15" hidden="false" customHeight="true" outlineLevel="0" collapsed="false">
      <c r="A34" s="24"/>
      <c r="B34" s="28"/>
      <c r="C34" s="24"/>
      <c r="D34" s="29"/>
      <c r="E34" s="30"/>
    </row>
    <row r="35" customFormat="false" ht="15" hidden="false" customHeight="true" outlineLevel="0" collapsed="false">
      <c r="A35" s="24"/>
      <c r="B35" s="28"/>
      <c r="C35" s="24"/>
      <c r="D35" s="29"/>
      <c r="E35" s="30"/>
    </row>
    <row r="36" customFormat="false" ht="15" hidden="false" customHeight="true" outlineLevel="0" collapsed="false">
      <c r="A36" s="24"/>
      <c r="B36" s="28"/>
      <c r="C36" s="24"/>
      <c r="D36" s="29"/>
      <c r="E36" s="30"/>
    </row>
    <row r="37" customFormat="false" ht="15" hidden="false" customHeight="true" outlineLevel="0" collapsed="false">
      <c r="A37" s="24"/>
      <c r="B37" s="28"/>
      <c r="C37" s="24"/>
      <c r="D37" s="29"/>
      <c r="E37" s="30"/>
    </row>
    <row r="38" customFormat="false" ht="15" hidden="false" customHeight="true" outlineLevel="0" collapsed="false">
      <c r="A38" s="24"/>
      <c r="B38" s="28"/>
      <c r="C38" s="24"/>
      <c r="D38" s="29"/>
      <c r="E38" s="30"/>
    </row>
    <row r="39" customFormat="false" ht="15" hidden="false" customHeight="true" outlineLevel="0" collapsed="false">
      <c r="A39" s="24"/>
      <c r="B39" s="28"/>
      <c r="C39" s="24"/>
      <c r="D39" s="29"/>
      <c r="E39" s="30"/>
    </row>
    <row r="40" customFormat="false" ht="15" hidden="false" customHeight="true" outlineLevel="0" collapsed="false">
      <c r="A40" s="24"/>
      <c r="B40" s="28"/>
      <c r="C40" s="24"/>
      <c r="D40" s="29"/>
      <c r="E40" s="30"/>
    </row>
    <row r="41" customFormat="false" ht="15" hidden="false" customHeight="true" outlineLevel="0" collapsed="false">
      <c r="A41" s="24"/>
      <c r="B41" s="28"/>
      <c r="C41" s="24"/>
      <c r="D41" s="29"/>
      <c r="E41" s="30"/>
    </row>
    <row r="42" customFormat="false" ht="15" hidden="false" customHeight="true" outlineLevel="0" collapsed="false">
      <c r="A42" s="24"/>
      <c r="B42" s="28"/>
      <c r="C42" s="24"/>
      <c r="D42" s="29"/>
      <c r="E42" s="30"/>
    </row>
    <row r="43" customFormat="false" ht="15" hidden="false" customHeight="true" outlineLevel="0" collapsed="false">
      <c r="A43" s="24"/>
      <c r="B43" s="28"/>
      <c r="C43" s="24"/>
      <c r="D43" s="29"/>
      <c r="E43" s="30"/>
    </row>
    <row r="44" customFormat="false" ht="15" hidden="false" customHeight="true" outlineLevel="0" collapsed="false">
      <c r="A44" s="24"/>
      <c r="B44" s="28"/>
      <c r="C44" s="24"/>
      <c r="D44" s="29"/>
      <c r="E44" s="30"/>
    </row>
    <row r="45" customFormat="false" ht="15" hidden="false" customHeight="true" outlineLevel="0" collapsed="false">
      <c r="A45" s="24"/>
      <c r="B45" s="28"/>
      <c r="C45" s="24"/>
      <c r="D45" s="29"/>
      <c r="E45" s="30"/>
    </row>
    <row r="46" customFormat="false" ht="15" hidden="false" customHeight="true" outlineLevel="0" collapsed="false">
      <c r="A46" s="24"/>
      <c r="B46" s="28"/>
      <c r="C46" s="24"/>
      <c r="D46" s="29"/>
      <c r="E46" s="30"/>
    </row>
    <row r="47" customFormat="false" ht="15" hidden="false" customHeight="true" outlineLevel="0" collapsed="false">
      <c r="A47" s="24"/>
      <c r="B47" s="28"/>
      <c r="C47" s="24"/>
      <c r="D47" s="29"/>
      <c r="E47" s="30"/>
    </row>
    <row r="48" customFormat="false" ht="15" hidden="false" customHeight="true" outlineLevel="0" collapsed="false">
      <c r="A48" s="24"/>
      <c r="B48" s="28"/>
      <c r="C48" s="24"/>
      <c r="D48" s="29"/>
      <c r="E48" s="30"/>
    </row>
    <row r="49" customFormat="false" ht="15" hidden="false" customHeight="true" outlineLevel="0" collapsed="false">
      <c r="A49" s="24"/>
      <c r="B49" s="28"/>
      <c r="C49" s="24"/>
      <c r="D49" s="29"/>
      <c r="E49" s="30"/>
    </row>
    <row r="50" customFormat="false" ht="15" hidden="false" customHeight="true" outlineLevel="0" collapsed="false">
      <c r="A50" s="24"/>
      <c r="B50" s="28"/>
      <c r="C50" s="24"/>
      <c r="D50" s="29"/>
      <c r="E50" s="30"/>
    </row>
    <row r="51" customFormat="false" ht="15" hidden="false" customHeight="true" outlineLevel="0" collapsed="false">
      <c r="A51" s="24"/>
      <c r="B51" s="28"/>
      <c r="C51" s="24"/>
      <c r="D51" s="29"/>
      <c r="E51" s="30"/>
    </row>
    <row r="52" customFormat="false" ht="15" hidden="false" customHeight="true" outlineLevel="0" collapsed="false">
      <c r="A52" s="24"/>
      <c r="B52" s="28"/>
      <c r="C52" s="24"/>
      <c r="D52" s="29"/>
      <c r="E52" s="30"/>
    </row>
    <row r="53" customFormat="false" ht="15" hidden="false" customHeight="true" outlineLevel="0" collapsed="false">
      <c r="A53" s="24"/>
      <c r="B53" s="28"/>
      <c r="C53" s="24"/>
      <c r="D53" s="29"/>
      <c r="E53" s="30"/>
    </row>
    <row r="54" customFormat="false" ht="15" hidden="false" customHeight="true" outlineLevel="0" collapsed="false">
      <c r="A54" s="24"/>
      <c r="B54" s="28"/>
      <c r="C54" s="24"/>
      <c r="D54" s="29"/>
      <c r="E54" s="30"/>
    </row>
    <row r="55" customFormat="false" ht="15" hidden="false" customHeight="true" outlineLevel="0" collapsed="false">
      <c r="A55" s="24"/>
      <c r="B55" s="28"/>
      <c r="C55" s="24"/>
      <c r="D55" s="29"/>
      <c r="E55" s="30"/>
    </row>
    <row r="56" customFormat="false" ht="15" hidden="false" customHeight="true" outlineLevel="0" collapsed="false">
      <c r="A56" s="24"/>
      <c r="B56" s="28"/>
      <c r="C56" s="24"/>
      <c r="D56" s="29"/>
      <c r="E56" s="30"/>
    </row>
    <row r="57" customFormat="false" ht="15" hidden="false" customHeight="true" outlineLevel="0" collapsed="false">
      <c r="A57" s="24"/>
      <c r="B57" s="28"/>
      <c r="C57" s="24"/>
      <c r="D57" s="29"/>
      <c r="E57" s="30"/>
    </row>
    <row r="58" customFormat="false" ht="15" hidden="false" customHeight="true" outlineLevel="0" collapsed="false">
      <c r="A58" s="24"/>
      <c r="B58" s="28"/>
      <c r="C58" s="24"/>
      <c r="D58" s="29"/>
      <c r="E58" s="30"/>
    </row>
    <row r="59" customFormat="false" ht="15" hidden="false" customHeight="true" outlineLevel="0" collapsed="false">
      <c r="A59" s="24"/>
      <c r="B59" s="28"/>
      <c r="C59" s="24"/>
      <c r="D59" s="29"/>
      <c r="E59" s="30"/>
    </row>
    <row r="60" customFormat="false" ht="15" hidden="false" customHeight="true" outlineLevel="0" collapsed="false">
      <c r="A60" s="24"/>
      <c r="B60" s="28"/>
      <c r="C60" s="24"/>
      <c r="D60" s="29"/>
      <c r="E60" s="30"/>
    </row>
    <row r="61" customFormat="false" ht="15" hidden="false" customHeight="true" outlineLevel="0" collapsed="false">
      <c r="A61" s="24"/>
      <c r="B61" s="28"/>
      <c r="C61" s="24"/>
      <c r="D61" s="29"/>
      <c r="E61" s="30"/>
    </row>
    <row r="62" customFormat="false" ht="15" hidden="false" customHeight="true" outlineLevel="0" collapsed="false">
      <c r="A62" s="24"/>
      <c r="B62" s="28"/>
      <c r="C62" s="24"/>
      <c r="D62" s="29"/>
      <c r="E62" s="30"/>
    </row>
    <row r="63" customFormat="false" ht="15" hidden="false" customHeight="true" outlineLevel="0" collapsed="false">
      <c r="A63" s="24"/>
      <c r="B63" s="28"/>
      <c r="C63" s="24"/>
      <c r="D63" s="29"/>
      <c r="E63" s="30"/>
    </row>
    <row r="64" customFormat="false" ht="15" hidden="false" customHeight="true" outlineLevel="0" collapsed="false">
      <c r="A64" s="24"/>
      <c r="B64" s="28"/>
      <c r="C64" s="24"/>
      <c r="D64" s="29"/>
      <c r="E64" s="30"/>
    </row>
    <row r="65" customFormat="false" ht="15" hidden="false" customHeight="true" outlineLevel="0" collapsed="false">
      <c r="A65" s="24"/>
      <c r="B65" s="28"/>
      <c r="C65" s="24"/>
      <c r="D65" s="29"/>
      <c r="E65" s="30"/>
    </row>
    <row r="66" customFormat="false" ht="15" hidden="false" customHeight="true" outlineLevel="0" collapsed="false">
      <c r="A66" s="24"/>
      <c r="B66" s="28"/>
      <c r="C66" s="24"/>
      <c r="D66" s="29"/>
      <c r="E66" s="30"/>
    </row>
    <row r="67" customFormat="false" ht="15" hidden="false" customHeight="true" outlineLevel="0" collapsed="false">
      <c r="A67" s="24"/>
      <c r="B67" s="28"/>
      <c r="C67" s="24"/>
      <c r="D67" s="29"/>
      <c r="E67" s="30"/>
    </row>
    <row r="68" customFormat="false" ht="15" hidden="false" customHeight="true" outlineLevel="0" collapsed="false">
      <c r="A68" s="24"/>
      <c r="B68" s="28"/>
      <c r="C68" s="24"/>
      <c r="D68" s="29"/>
      <c r="E68" s="30"/>
    </row>
    <row r="69" customFormat="false" ht="15" hidden="false" customHeight="true" outlineLevel="0" collapsed="false">
      <c r="A69" s="24"/>
      <c r="B69" s="28"/>
      <c r="C69" s="24"/>
      <c r="D69" s="29"/>
      <c r="E69" s="30"/>
    </row>
    <row r="70" customFormat="false" ht="15" hidden="false" customHeight="true" outlineLevel="0" collapsed="false">
      <c r="A70" s="24"/>
      <c r="B70" s="28"/>
      <c r="C70" s="24"/>
      <c r="D70" s="29"/>
      <c r="E70" s="30"/>
    </row>
    <row r="71" customFormat="false" ht="15" hidden="false" customHeight="true" outlineLevel="0" collapsed="false">
      <c r="A71" s="24"/>
      <c r="B71" s="28"/>
      <c r="C71" s="24"/>
      <c r="D71" s="29"/>
      <c r="E71" s="30"/>
    </row>
    <row r="72" customFormat="false" ht="15" hidden="false" customHeight="true" outlineLevel="0" collapsed="false">
      <c r="A72" s="24"/>
      <c r="B72" s="28"/>
      <c r="C72" s="24"/>
      <c r="D72" s="29"/>
      <c r="E72" s="30"/>
    </row>
    <row r="73" customFormat="false" ht="15" hidden="false" customHeight="true" outlineLevel="0" collapsed="false">
      <c r="A73" s="24"/>
      <c r="B73" s="28"/>
      <c r="C73" s="24"/>
      <c r="D73" s="29"/>
      <c r="E73" s="30"/>
    </row>
    <row r="74" customFormat="false" ht="15" hidden="false" customHeight="true" outlineLevel="0" collapsed="false">
      <c r="A74" s="24"/>
      <c r="B74" s="28"/>
      <c r="C74" s="24"/>
      <c r="D74" s="29"/>
      <c r="E74" s="30"/>
    </row>
    <row r="75" customFormat="false" ht="15" hidden="false" customHeight="true" outlineLevel="0" collapsed="false">
      <c r="A75" s="24"/>
      <c r="B75" s="28"/>
      <c r="C75" s="24"/>
      <c r="D75" s="29"/>
      <c r="E75" s="30"/>
    </row>
    <row r="76" customFormat="false" ht="15" hidden="false" customHeight="true" outlineLevel="0" collapsed="false">
      <c r="A76" s="24"/>
      <c r="B76" s="28"/>
      <c r="C76" s="24"/>
      <c r="D76" s="29"/>
      <c r="E76" s="30"/>
    </row>
    <row r="77" customFormat="false" ht="15" hidden="false" customHeight="true" outlineLevel="0" collapsed="false">
      <c r="A77" s="24"/>
      <c r="B77" s="28"/>
      <c r="C77" s="24"/>
      <c r="D77" s="29"/>
      <c r="E77" s="30"/>
    </row>
    <row r="78" customFormat="false" ht="15" hidden="false" customHeight="true" outlineLevel="0" collapsed="false">
      <c r="A78" s="24"/>
      <c r="B78" s="28"/>
      <c r="C78" s="24"/>
      <c r="D78" s="29"/>
      <c r="E78" s="30"/>
    </row>
    <row r="79" customFormat="false" ht="15" hidden="false" customHeight="true" outlineLevel="0" collapsed="false">
      <c r="A79" s="24"/>
      <c r="B79" s="28"/>
      <c r="C79" s="24"/>
      <c r="D79" s="29"/>
      <c r="E79" s="30"/>
    </row>
    <row r="80" customFormat="false" ht="15" hidden="false" customHeight="true" outlineLevel="0" collapsed="false">
      <c r="A80" s="24"/>
      <c r="B80" s="28"/>
      <c r="C80" s="24"/>
      <c r="D80" s="29"/>
      <c r="E80" s="30"/>
    </row>
    <row r="81" customFormat="false" ht="15" hidden="false" customHeight="true" outlineLevel="0" collapsed="false">
      <c r="A81" s="24"/>
      <c r="B81" s="28"/>
      <c r="C81" s="24"/>
      <c r="D81" s="29"/>
      <c r="E81" s="30"/>
    </row>
    <row r="82" customFormat="false" ht="15" hidden="false" customHeight="true" outlineLevel="0" collapsed="false">
      <c r="A82" s="24"/>
      <c r="B82" s="28"/>
      <c r="C82" s="24"/>
      <c r="D82" s="29"/>
      <c r="E82" s="30"/>
    </row>
    <row r="83" customFormat="false" ht="15" hidden="false" customHeight="true" outlineLevel="0" collapsed="false">
      <c r="A83" s="24"/>
      <c r="B83" s="28"/>
      <c r="C83" s="24"/>
      <c r="D83" s="29"/>
      <c r="E83" s="30"/>
    </row>
    <row r="84" customFormat="false" ht="15" hidden="false" customHeight="true" outlineLevel="0" collapsed="false">
      <c r="A84" s="24"/>
      <c r="B84" s="28"/>
      <c r="C84" s="24"/>
      <c r="D84" s="29"/>
      <c r="E84" s="30"/>
    </row>
    <row r="85" customFormat="false" ht="15" hidden="false" customHeight="true" outlineLevel="0" collapsed="false">
      <c r="A85" s="24"/>
      <c r="B85" s="28"/>
      <c r="C85" s="24"/>
      <c r="D85" s="29"/>
      <c r="E85" s="30"/>
    </row>
    <row r="86" customFormat="false" ht="15" hidden="false" customHeight="true" outlineLevel="0" collapsed="false">
      <c r="A86" s="24"/>
      <c r="B86" s="28"/>
      <c r="C86" s="24"/>
      <c r="D86" s="29"/>
      <c r="E86" s="30"/>
    </row>
    <row r="87" customFormat="false" ht="15" hidden="false" customHeight="true" outlineLevel="0" collapsed="false">
      <c r="A87" s="24"/>
      <c r="B87" s="28"/>
      <c r="C87" s="24"/>
      <c r="D87" s="29"/>
      <c r="E87" s="30"/>
    </row>
    <row r="88" customFormat="false" ht="15" hidden="false" customHeight="true" outlineLevel="0" collapsed="false">
      <c r="A88" s="24"/>
      <c r="B88" s="28"/>
      <c r="C88" s="24"/>
      <c r="D88" s="29"/>
      <c r="E88" s="30"/>
    </row>
    <row r="89" customFormat="false" ht="15" hidden="false" customHeight="true" outlineLevel="0" collapsed="false">
      <c r="A89" s="24"/>
      <c r="B89" s="28"/>
      <c r="C89" s="24"/>
      <c r="D89" s="29"/>
      <c r="E89" s="30"/>
    </row>
    <row r="90" customFormat="false" ht="15" hidden="false" customHeight="true" outlineLevel="0" collapsed="false">
      <c r="A90" s="24"/>
      <c r="B90" s="28"/>
      <c r="C90" s="24"/>
      <c r="D90" s="29"/>
      <c r="E90" s="30"/>
    </row>
    <row r="91" customFormat="false" ht="15" hidden="false" customHeight="true" outlineLevel="0" collapsed="false">
      <c r="A91" s="24"/>
      <c r="B91" s="28"/>
      <c r="C91" s="24"/>
      <c r="D91" s="29"/>
      <c r="E91" s="30"/>
    </row>
    <row r="92" customFormat="false" ht="15" hidden="false" customHeight="true" outlineLevel="0" collapsed="false">
      <c r="A92" s="24"/>
      <c r="B92" s="28"/>
      <c r="C92" s="24"/>
      <c r="D92" s="29"/>
      <c r="E92" s="30"/>
    </row>
    <row r="93" customFormat="false" ht="15" hidden="false" customHeight="true" outlineLevel="0" collapsed="false">
      <c r="A93" s="24"/>
      <c r="B93" s="28"/>
      <c r="C93" s="24"/>
      <c r="D93" s="29"/>
      <c r="E93" s="30"/>
    </row>
    <row r="94" customFormat="false" ht="15" hidden="false" customHeight="true" outlineLevel="0" collapsed="false">
      <c r="A94" s="24"/>
      <c r="B94" s="28"/>
      <c r="C94" s="24"/>
      <c r="D94" s="29"/>
      <c r="E94" s="30"/>
    </row>
    <row r="95" customFormat="false" ht="15" hidden="false" customHeight="true" outlineLevel="0" collapsed="false">
      <c r="A95" s="24"/>
      <c r="B95" s="28"/>
      <c r="C95" s="24"/>
      <c r="D95" s="29"/>
      <c r="E95" s="30"/>
    </row>
    <row r="96" customFormat="false" ht="15" hidden="false" customHeight="true" outlineLevel="0" collapsed="false">
      <c r="A96" s="24"/>
      <c r="B96" s="28"/>
      <c r="C96" s="24"/>
      <c r="D96" s="29"/>
      <c r="E96" s="30"/>
    </row>
    <row r="97" customFormat="false" ht="15" hidden="false" customHeight="true" outlineLevel="0" collapsed="false">
      <c r="A97" s="24"/>
      <c r="B97" s="28"/>
      <c r="C97" s="24"/>
      <c r="D97" s="29"/>
      <c r="E97" s="30"/>
    </row>
    <row r="98" customFormat="false" ht="15" hidden="false" customHeight="true" outlineLevel="0" collapsed="false">
      <c r="A98" s="24"/>
      <c r="B98" s="28"/>
      <c r="C98" s="24"/>
      <c r="D98" s="29"/>
      <c r="E98" s="30"/>
    </row>
    <row r="99" customFormat="false" ht="15" hidden="false" customHeight="true" outlineLevel="0" collapsed="false">
      <c r="A99" s="24"/>
      <c r="B99" s="28"/>
      <c r="C99" s="24"/>
      <c r="D99" s="29"/>
      <c r="E99" s="30"/>
    </row>
    <row r="100" customFormat="false" ht="15" hidden="false" customHeight="true" outlineLevel="0" collapsed="false">
      <c r="A100" s="24"/>
      <c r="B100" s="28"/>
      <c r="C100" s="24"/>
      <c r="D100" s="29"/>
      <c r="E100" s="30"/>
    </row>
    <row r="101" customFormat="false" ht="15" hidden="false" customHeight="true" outlineLevel="0" collapsed="false">
      <c r="A101" s="24"/>
      <c r="B101" s="28"/>
      <c r="C101" s="24"/>
      <c r="D101" s="29"/>
      <c r="E101" s="30"/>
    </row>
    <row r="102" customFormat="false" ht="15" hidden="false" customHeight="true" outlineLevel="0" collapsed="false">
      <c r="A102" s="24"/>
      <c r="B102" s="28"/>
      <c r="C102" s="24"/>
      <c r="D102" s="29"/>
      <c r="E102" s="30"/>
    </row>
    <row r="103" customFormat="false" ht="15" hidden="false" customHeight="true" outlineLevel="0" collapsed="false">
      <c r="A103" s="24"/>
      <c r="B103" s="28"/>
      <c r="C103" s="24"/>
      <c r="D103" s="29"/>
      <c r="E103" s="30"/>
    </row>
    <row r="104" customFormat="false" ht="15" hidden="false" customHeight="true" outlineLevel="0" collapsed="false">
      <c r="A104" s="24"/>
      <c r="B104" s="28"/>
      <c r="C104" s="24"/>
      <c r="D104" s="29"/>
      <c r="E104" s="30"/>
    </row>
    <row r="105" customFormat="false" ht="15" hidden="false" customHeight="true" outlineLevel="0" collapsed="false">
      <c r="A105" s="24"/>
      <c r="B105" s="28"/>
      <c r="C105" s="24"/>
      <c r="D105" s="29"/>
      <c r="E105" s="30"/>
    </row>
    <row r="106" customFormat="false" ht="15" hidden="false" customHeight="true" outlineLevel="0" collapsed="false">
      <c r="A106" s="24"/>
      <c r="B106" s="28"/>
      <c r="C106" s="24"/>
      <c r="D106" s="29"/>
      <c r="E106" s="30"/>
    </row>
    <row r="107" customFormat="false" ht="15" hidden="false" customHeight="true" outlineLevel="0" collapsed="false">
      <c r="A107" s="24"/>
      <c r="B107" s="28"/>
      <c r="C107" s="24"/>
      <c r="D107" s="29"/>
      <c r="E107" s="30"/>
    </row>
    <row r="108" customFormat="false" ht="15" hidden="false" customHeight="true" outlineLevel="0" collapsed="false">
      <c r="A108" s="24"/>
      <c r="B108" s="28"/>
      <c r="C108" s="24"/>
      <c r="D108" s="29"/>
      <c r="E108" s="30"/>
    </row>
    <row r="109" customFormat="false" ht="15" hidden="false" customHeight="true" outlineLevel="0" collapsed="false">
      <c r="A109" s="24"/>
      <c r="B109" s="28"/>
      <c r="C109" s="24"/>
      <c r="D109" s="29"/>
      <c r="E109" s="30"/>
    </row>
    <row r="110" customFormat="false" ht="15" hidden="false" customHeight="true" outlineLevel="0" collapsed="false">
      <c r="A110" s="24"/>
      <c r="B110" s="28"/>
      <c r="C110" s="24"/>
      <c r="D110" s="29"/>
      <c r="E110" s="30"/>
    </row>
    <row r="111" customFormat="false" ht="15" hidden="false" customHeight="true" outlineLevel="0" collapsed="false">
      <c r="A111" s="24"/>
      <c r="B111" s="28"/>
      <c r="C111" s="24"/>
      <c r="D111" s="29"/>
      <c r="E111" s="30"/>
    </row>
    <row r="112" customFormat="false" ht="15" hidden="false" customHeight="true" outlineLevel="0" collapsed="false">
      <c r="A112" s="24"/>
      <c r="B112" s="28"/>
      <c r="C112" s="24"/>
      <c r="D112" s="29"/>
      <c r="E112" s="30"/>
    </row>
    <row r="113" customFormat="false" ht="15" hidden="false" customHeight="true" outlineLevel="0" collapsed="false">
      <c r="A113" s="24"/>
      <c r="B113" s="28"/>
      <c r="C113" s="24"/>
      <c r="D113" s="29"/>
      <c r="E113" s="30"/>
    </row>
    <row r="114" customFormat="false" ht="15" hidden="false" customHeight="true" outlineLevel="0" collapsed="false">
      <c r="A114" s="24"/>
      <c r="B114" s="28"/>
      <c r="C114" s="24"/>
      <c r="D114" s="29"/>
      <c r="E114" s="30"/>
    </row>
    <row r="115" customFormat="false" ht="15" hidden="false" customHeight="true" outlineLevel="0" collapsed="false">
      <c r="A115" s="24"/>
      <c r="B115" s="28"/>
      <c r="C115" s="24"/>
      <c r="D115" s="29"/>
      <c r="E115" s="30"/>
    </row>
    <row r="116" customFormat="false" ht="15" hidden="false" customHeight="true" outlineLevel="0" collapsed="false">
      <c r="A116" s="24"/>
      <c r="B116" s="28"/>
      <c r="C116" s="24"/>
      <c r="D116" s="29"/>
      <c r="E116" s="30"/>
    </row>
    <row r="117" customFormat="false" ht="15" hidden="false" customHeight="true" outlineLevel="0" collapsed="false">
      <c r="A117" s="24"/>
      <c r="B117" s="28"/>
      <c r="C117" s="24"/>
      <c r="D117" s="29"/>
      <c r="E117" s="30"/>
    </row>
    <row r="118" customFormat="false" ht="15" hidden="false" customHeight="true" outlineLevel="0" collapsed="false">
      <c r="A118" s="24"/>
      <c r="B118" s="28"/>
      <c r="C118" s="24"/>
      <c r="D118" s="29"/>
      <c r="E118" s="30"/>
    </row>
    <row r="119" customFormat="false" ht="15" hidden="false" customHeight="true" outlineLevel="0" collapsed="false">
      <c r="A119" s="24"/>
      <c r="B119" s="28"/>
      <c r="C119" s="24"/>
      <c r="D119" s="29"/>
      <c r="E119" s="30"/>
    </row>
    <row r="120" customFormat="false" ht="15" hidden="false" customHeight="true" outlineLevel="0" collapsed="false">
      <c r="A120" s="24"/>
      <c r="B120" s="28"/>
      <c r="C120" s="24"/>
      <c r="D120" s="29"/>
      <c r="E120" s="30"/>
    </row>
    <row r="121" customFormat="false" ht="15" hidden="false" customHeight="true" outlineLevel="0" collapsed="false">
      <c r="A121" s="24"/>
      <c r="B121" s="28"/>
      <c r="C121" s="24"/>
      <c r="D121" s="29"/>
      <c r="E121" s="30"/>
    </row>
    <row r="122" customFormat="false" ht="15" hidden="false" customHeight="true" outlineLevel="0" collapsed="false">
      <c r="A122" s="24"/>
      <c r="B122" s="28"/>
      <c r="C122" s="24"/>
      <c r="D122" s="29"/>
      <c r="E122" s="30"/>
    </row>
    <row r="123" customFormat="false" ht="15" hidden="false" customHeight="true" outlineLevel="0" collapsed="false">
      <c r="A123" s="24"/>
      <c r="B123" s="28"/>
      <c r="C123" s="24"/>
      <c r="D123" s="29"/>
      <c r="E123" s="30"/>
    </row>
    <row r="124" customFormat="false" ht="15" hidden="false" customHeight="true" outlineLevel="0" collapsed="false">
      <c r="A124" s="24"/>
      <c r="B124" s="28"/>
      <c r="C124" s="24"/>
      <c r="D124" s="29"/>
      <c r="E124" s="30"/>
    </row>
    <row r="125" customFormat="false" ht="15" hidden="false" customHeight="true" outlineLevel="0" collapsed="false">
      <c r="A125" s="24"/>
      <c r="B125" s="28"/>
      <c r="C125" s="24"/>
      <c r="D125" s="29"/>
      <c r="E125" s="30"/>
    </row>
    <row r="126" customFormat="false" ht="15" hidden="false" customHeight="true" outlineLevel="0" collapsed="false">
      <c r="A126" s="24"/>
      <c r="B126" s="28"/>
      <c r="C126" s="24"/>
      <c r="D126" s="29"/>
      <c r="E126" s="30"/>
    </row>
    <row r="127" customFormat="false" ht="15" hidden="false" customHeight="true" outlineLevel="0" collapsed="false">
      <c r="A127" s="24"/>
      <c r="B127" s="28"/>
      <c r="C127" s="24"/>
      <c r="D127" s="29"/>
      <c r="E127" s="30"/>
    </row>
    <row r="128" customFormat="false" ht="15" hidden="false" customHeight="true" outlineLevel="0" collapsed="false">
      <c r="A128" s="24"/>
      <c r="B128" s="28"/>
      <c r="C128" s="24"/>
      <c r="D128" s="29"/>
      <c r="E128" s="30"/>
    </row>
    <row r="129" customFormat="false" ht="15" hidden="false" customHeight="true" outlineLevel="0" collapsed="false">
      <c r="A129" s="24"/>
      <c r="B129" s="28"/>
      <c r="C129" s="24"/>
      <c r="D129" s="29"/>
      <c r="E129" s="30"/>
    </row>
    <row r="130" customFormat="false" ht="15" hidden="false" customHeight="true" outlineLevel="0" collapsed="false">
      <c r="A130" s="24"/>
      <c r="B130" s="28"/>
      <c r="C130" s="24"/>
      <c r="D130" s="29"/>
      <c r="E130" s="30"/>
    </row>
    <row r="131" customFormat="false" ht="15" hidden="false" customHeight="true" outlineLevel="0" collapsed="false">
      <c r="A131" s="24"/>
      <c r="B131" s="28"/>
      <c r="C131" s="24"/>
      <c r="D131" s="29"/>
      <c r="E131" s="30"/>
    </row>
    <row r="132" customFormat="false" ht="15" hidden="false" customHeight="true" outlineLevel="0" collapsed="false">
      <c r="A132" s="24"/>
      <c r="B132" s="28"/>
      <c r="C132" s="24"/>
      <c r="D132" s="29"/>
      <c r="E132" s="30"/>
    </row>
    <row r="133" customFormat="false" ht="15" hidden="false" customHeight="true" outlineLevel="0" collapsed="false">
      <c r="A133" s="24"/>
      <c r="B133" s="28"/>
      <c r="C133" s="24"/>
      <c r="D133" s="29"/>
      <c r="E133" s="30"/>
    </row>
    <row r="134" customFormat="false" ht="15" hidden="false" customHeight="true" outlineLevel="0" collapsed="false">
      <c r="A134" s="24"/>
      <c r="B134" s="28"/>
      <c r="C134" s="24"/>
      <c r="D134" s="29"/>
      <c r="E134" s="30"/>
    </row>
    <row r="135" customFormat="false" ht="15" hidden="false" customHeight="true" outlineLevel="0" collapsed="false">
      <c r="A135" s="24"/>
      <c r="B135" s="28"/>
      <c r="C135" s="24"/>
      <c r="D135" s="29"/>
      <c r="E135" s="30"/>
    </row>
    <row r="136" customFormat="false" ht="15" hidden="false" customHeight="true" outlineLevel="0" collapsed="false">
      <c r="A136" s="24"/>
      <c r="B136" s="28"/>
      <c r="C136" s="24"/>
      <c r="D136" s="29"/>
      <c r="E136" s="30"/>
    </row>
    <row r="137" customFormat="false" ht="15" hidden="false" customHeight="true" outlineLevel="0" collapsed="false">
      <c r="A137" s="24"/>
      <c r="B137" s="28"/>
      <c r="C137" s="24"/>
      <c r="D137" s="29"/>
      <c r="E137" s="30"/>
    </row>
    <row r="138" customFormat="false" ht="15" hidden="false" customHeight="true" outlineLevel="0" collapsed="false">
      <c r="A138" s="24"/>
      <c r="B138" s="28"/>
      <c r="C138" s="24"/>
      <c r="D138" s="29"/>
      <c r="E138" s="30"/>
    </row>
    <row r="139" customFormat="false" ht="15" hidden="false" customHeight="true" outlineLevel="0" collapsed="false">
      <c r="A139" s="24"/>
      <c r="B139" s="28"/>
      <c r="C139" s="24"/>
      <c r="D139" s="29"/>
      <c r="E139" s="30"/>
    </row>
    <row r="140" customFormat="false" ht="15" hidden="false" customHeight="true" outlineLevel="0" collapsed="false">
      <c r="A140" s="24"/>
      <c r="B140" s="28"/>
      <c r="C140" s="24"/>
      <c r="D140" s="29"/>
      <c r="E140" s="30"/>
    </row>
    <row r="141" customFormat="false" ht="15" hidden="false" customHeight="true" outlineLevel="0" collapsed="false">
      <c r="A141" s="24"/>
      <c r="B141" s="28"/>
      <c r="C141" s="24"/>
      <c r="D141" s="29"/>
      <c r="E141" s="30"/>
    </row>
    <row r="142" customFormat="false" ht="15" hidden="false" customHeight="true" outlineLevel="0" collapsed="false">
      <c r="A142" s="24"/>
      <c r="B142" s="28"/>
      <c r="C142" s="24"/>
      <c r="D142" s="29"/>
      <c r="E142" s="30"/>
    </row>
    <row r="143" customFormat="false" ht="15" hidden="false" customHeight="true" outlineLevel="0" collapsed="false">
      <c r="A143" s="24"/>
      <c r="B143" s="28"/>
      <c r="C143" s="24"/>
      <c r="D143" s="29"/>
      <c r="E143" s="30"/>
    </row>
    <row r="144" customFormat="false" ht="15" hidden="false" customHeight="true" outlineLevel="0" collapsed="false">
      <c r="A144" s="24"/>
      <c r="B144" s="28"/>
      <c r="C144" s="24"/>
      <c r="D144" s="29"/>
      <c r="E144" s="30"/>
    </row>
    <row r="145" customFormat="false" ht="15" hidden="false" customHeight="true" outlineLevel="0" collapsed="false">
      <c r="A145" s="24"/>
      <c r="B145" s="28"/>
      <c r="C145" s="24"/>
      <c r="D145" s="29"/>
      <c r="E145" s="30"/>
    </row>
    <row r="146" customFormat="false" ht="15" hidden="false" customHeight="true" outlineLevel="0" collapsed="false">
      <c r="A146" s="24"/>
      <c r="B146" s="28"/>
      <c r="C146" s="24"/>
      <c r="D146" s="29"/>
      <c r="E146" s="30"/>
    </row>
    <row r="147" customFormat="false" ht="15" hidden="false" customHeight="true" outlineLevel="0" collapsed="false">
      <c r="A147" s="24"/>
      <c r="B147" s="28"/>
      <c r="C147" s="24"/>
      <c r="D147" s="29"/>
      <c r="E147" s="30"/>
    </row>
    <row r="148" customFormat="false" ht="15" hidden="false" customHeight="true" outlineLevel="0" collapsed="false">
      <c r="A148" s="24"/>
      <c r="B148" s="28"/>
      <c r="C148" s="24"/>
      <c r="D148" s="29"/>
      <c r="E148" s="30"/>
    </row>
    <row r="149" customFormat="false" ht="15" hidden="false" customHeight="true" outlineLevel="0" collapsed="false">
      <c r="A149" s="24"/>
      <c r="B149" s="28"/>
      <c r="C149" s="24"/>
      <c r="D149" s="29"/>
      <c r="E149" s="30"/>
    </row>
    <row r="150" customFormat="false" ht="15" hidden="false" customHeight="true" outlineLevel="0" collapsed="false">
      <c r="A150" s="24"/>
      <c r="B150" s="28"/>
      <c r="C150" s="24"/>
      <c r="D150" s="29"/>
      <c r="E150" s="30"/>
    </row>
    <row r="151" customFormat="false" ht="15" hidden="false" customHeight="true" outlineLevel="0" collapsed="false">
      <c r="A151" s="24"/>
      <c r="B151" s="28"/>
      <c r="C151" s="24"/>
      <c r="D151" s="29"/>
      <c r="E151" s="30"/>
    </row>
    <row r="152" customFormat="false" ht="15" hidden="false" customHeight="true" outlineLevel="0" collapsed="false">
      <c r="A152" s="24"/>
      <c r="B152" s="28"/>
      <c r="C152" s="24"/>
      <c r="D152" s="29"/>
      <c r="E152" s="30"/>
    </row>
    <row r="153" customFormat="false" ht="15" hidden="false" customHeight="true" outlineLevel="0" collapsed="false">
      <c r="A153" s="24"/>
      <c r="B153" s="28"/>
      <c r="C153" s="24"/>
      <c r="D153" s="29"/>
      <c r="E153" s="30"/>
    </row>
    <row r="154" customFormat="false" ht="15" hidden="false" customHeight="true" outlineLevel="0" collapsed="false">
      <c r="A154" s="24"/>
      <c r="B154" s="28"/>
      <c r="C154" s="24"/>
      <c r="D154" s="29"/>
      <c r="E154" s="30"/>
    </row>
    <row r="155" customFormat="false" ht="15" hidden="false" customHeight="true" outlineLevel="0" collapsed="false">
      <c r="A155" s="24"/>
      <c r="B155" s="28"/>
      <c r="C155" s="24"/>
      <c r="D155" s="29"/>
      <c r="E155" s="30"/>
    </row>
    <row r="156" customFormat="false" ht="15" hidden="false" customHeight="true" outlineLevel="0" collapsed="false">
      <c r="A156" s="24"/>
      <c r="B156" s="28"/>
      <c r="C156" s="24"/>
      <c r="D156" s="29"/>
      <c r="E156" s="30"/>
    </row>
    <row r="157" customFormat="false" ht="15" hidden="false" customHeight="true" outlineLevel="0" collapsed="false">
      <c r="A157" s="24"/>
      <c r="B157" s="28"/>
      <c r="C157" s="24"/>
      <c r="D157" s="29"/>
      <c r="E157" s="30"/>
    </row>
    <row r="158" customFormat="false" ht="15" hidden="false" customHeight="true" outlineLevel="0" collapsed="false">
      <c r="A158" s="24"/>
      <c r="B158" s="28"/>
      <c r="C158" s="24"/>
      <c r="D158" s="29"/>
      <c r="E158" s="30"/>
    </row>
    <row r="159" customFormat="false" ht="15" hidden="false" customHeight="true" outlineLevel="0" collapsed="false">
      <c r="A159" s="24"/>
      <c r="B159" s="28"/>
      <c r="C159" s="24"/>
      <c r="D159" s="29"/>
      <c r="E159" s="30"/>
    </row>
    <row r="160" customFormat="false" ht="15" hidden="false" customHeight="true" outlineLevel="0" collapsed="false">
      <c r="A160" s="24"/>
      <c r="B160" s="28"/>
      <c r="C160" s="24"/>
      <c r="D160" s="29"/>
      <c r="E160" s="30"/>
    </row>
    <row r="161" customFormat="false" ht="15" hidden="false" customHeight="true" outlineLevel="0" collapsed="false">
      <c r="A161" s="24"/>
      <c r="B161" s="28"/>
      <c r="C161" s="24"/>
      <c r="D161" s="29"/>
      <c r="E161" s="30"/>
    </row>
    <row r="162" customFormat="false" ht="15" hidden="false" customHeight="true" outlineLevel="0" collapsed="false">
      <c r="A162" s="24"/>
      <c r="B162" s="28"/>
      <c r="C162" s="24"/>
      <c r="D162" s="29"/>
      <c r="E162" s="30"/>
    </row>
    <row r="163" customFormat="false" ht="15" hidden="false" customHeight="true" outlineLevel="0" collapsed="false">
      <c r="A163" s="24"/>
      <c r="B163" s="28"/>
      <c r="C163" s="24"/>
      <c r="D163" s="29"/>
      <c r="E163" s="30"/>
    </row>
    <row r="164" customFormat="false" ht="15" hidden="false" customHeight="true" outlineLevel="0" collapsed="false">
      <c r="A164" s="24"/>
      <c r="B164" s="28"/>
      <c r="C164" s="24"/>
      <c r="D164" s="29"/>
      <c r="E164" s="30"/>
    </row>
    <row r="165" customFormat="false" ht="15" hidden="false" customHeight="true" outlineLevel="0" collapsed="false">
      <c r="A165" s="24"/>
      <c r="B165" s="28"/>
      <c r="C165" s="24"/>
      <c r="D165" s="29"/>
      <c r="E165" s="30"/>
    </row>
    <row r="166" customFormat="false" ht="15" hidden="false" customHeight="true" outlineLevel="0" collapsed="false">
      <c r="A166" s="24"/>
      <c r="B166" s="28"/>
      <c r="C166" s="24"/>
      <c r="D166" s="29"/>
      <c r="E166" s="30"/>
    </row>
    <row r="167" customFormat="false" ht="15" hidden="false" customHeight="true" outlineLevel="0" collapsed="false">
      <c r="A167" s="24"/>
      <c r="B167" s="28"/>
      <c r="C167" s="24"/>
      <c r="D167" s="29"/>
      <c r="E167" s="30"/>
    </row>
    <row r="168" customFormat="false" ht="15" hidden="false" customHeight="true" outlineLevel="0" collapsed="false">
      <c r="A168" s="24"/>
      <c r="B168" s="28"/>
      <c r="C168" s="24"/>
      <c r="D168" s="29"/>
      <c r="E168" s="30"/>
    </row>
    <row r="169" customFormat="false" ht="15" hidden="false" customHeight="true" outlineLevel="0" collapsed="false">
      <c r="A169" s="24"/>
      <c r="B169" s="28"/>
      <c r="C169" s="24"/>
      <c r="D169" s="29"/>
      <c r="E169" s="30"/>
    </row>
    <row r="170" customFormat="false" ht="15" hidden="false" customHeight="true" outlineLevel="0" collapsed="false">
      <c r="A170" s="24"/>
      <c r="B170" s="28"/>
      <c r="C170" s="24"/>
      <c r="D170" s="29"/>
      <c r="E170" s="30"/>
    </row>
    <row r="171" customFormat="false" ht="15" hidden="false" customHeight="true" outlineLevel="0" collapsed="false">
      <c r="A171" s="24"/>
      <c r="B171" s="28"/>
      <c r="C171" s="24"/>
      <c r="D171" s="29"/>
      <c r="E171" s="30"/>
    </row>
    <row r="172" customFormat="false" ht="15" hidden="false" customHeight="true" outlineLevel="0" collapsed="false">
      <c r="A172" s="24"/>
      <c r="B172" s="28"/>
      <c r="C172" s="24"/>
      <c r="D172" s="29"/>
      <c r="E172" s="30"/>
    </row>
    <row r="173" customFormat="false" ht="15" hidden="false" customHeight="true" outlineLevel="0" collapsed="false">
      <c r="A173" s="24"/>
      <c r="B173" s="28"/>
      <c r="C173" s="24"/>
      <c r="D173" s="29"/>
      <c r="E173" s="30"/>
    </row>
    <row r="174" customFormat="false" ht="15" hidden="false" customHeight="true" outlineLevel="0" collapsed="false">
      <c r="A174" s="24"/>
      <c r="B174" s="28"/>
      <c r="C174" s="24"/>
      <c r="D174" s="29"/>
      <c r="E174" s="30"/>
    </row>
    <row r="175" customFormat="false" ht="15" hidden="false" customHeight="true" outlineLevel="0" collapsed="false">
      <c r="A175" s="24"/>
      <c r="B175" s="28"/>
      <c r="C175" s="24"/>
      <c r="D175" s="29"/>
      <c r="E175" s="30"/>
    </row>
    <row r="176" customFormat="false" ht="15" hidden="false" customHeight="true" outlineLevel="0" collapsed="false">
      <c r="A176" s="24"/>
      <c r="B176" s="28"/>
      <c r="C176" s="24"/>
      <c r="D176" s="29"/>
      <c r="E176" s="30"/>
    </row>
    <row r="177" customFormat="false" ht="15" hidden="false" customHeight="true" outlineLevel="0" collapsed="false">
      <c r="A177" s="24"/>
      <c r="B177" s="28"/>
      <c r="C177" s="24"/>
      <c r="D177" s="29"/>
      <c r="E177" s="30"/>
    </row>
    <row r="178" customFormat="false" ht="15" hidden="false" customHeight="true" outlineLevel="0" collapsed="false">
      <c r="A178" s="24"/>
      <c r="B178" s="28"/>
      <c r="C178" s="24"/>
      <c r="D178" s="29"/>
      <c r="E178" s="30"/>
    </row>
    <row r="179" customFormat="false" ht="15" hidden="false" customHeight="true" outlineLevel="0" collapsed="false">
      <c r="A179" s="24"/>
      <c r="B179" s="28"/>
      <c r="C179" s="24"/>
      <c r="D179" s="29"/>
      <c r="E179" s="30"/>
    </row>
    <row r="180" customFormat="false" ht="15" hidden="false" customHeight="true" outlineLevel="0" collapsed="false">
      <c r="A180" s="24"/>
      <c r="B180" s="28"/>
      <c r="C180" s="24"/>
      <c r="D180" s="29"/>
      <c r="E180" s="30"/>
    </row>
    <row r="181" customFormat="false" ht="15" hidden="false" customHeight="true" outlineLevel="0" collapsed="false">
      <c r="A181" s="24"/>
      <c r="B181" s="28"/>
      <c r="C181" s="24"/>
      <c r="D181" s="29"/>
      <c r="E181" s="30"/>
    </row>
    <row r="182" customFormat="false" ht="15" hidden="false" customHeight="true" outlineLevel="0" collapsed="false">
      <c r="A182" s="24"/>
      <c r="B182" s="28"/>
      <c r="C182" s="24"/>
      <c r="D182" s="29"/>
      <c r="E182" s="30"/>
    </row>
    <row r="183" customFormat="false" ht="15" hidden="false" customHeight="true" outlineLevel="0" collapsed="false">
      <c r="A183" s="24"/>
      <c r="B183" s="28"/>
      <c r="C183" s="24"/>
      <c r="D183" s="29"/>
      <c r="E183" s="30"/>
    </row>
    <row r="184" customFormat="false" ht="15" hidden="false" customHeight="true" outlineLevel="0" collapsed="false">
      <c r="A184" s="24"/>
      <c r="B184" s="28"/>
      <c r="C184" s="24"/>
      <c r="D184" s="29"/>
      <c r="E184" s="30"/>
    </row>
    <row r="185" customFormat="false" ht="15" hidden="false" customHeight="true" outlineLevel="0" collapsed="false">
      <c r="A185" s="24"/>
      <c r="B185" s="28"/>
      <c r="C185" s="24"/>
      <c r="D185" s="29"/>
      <c r="E185" s="30"/>
    </row>
    <row r="186" customFormat="false" ht="15" hidden="false" customHeight="true" outlineLevel="0" collapsed="false">
      <c r="A186" s="24"/>
      <c r="B186" s="28"/>
      <c r="C186" s="24"/>
      <c r="D186" s="29"/>
      <c r="E186" s="30"/>
    </row>
    <row r="187" customFormat="false" ht="15" hidden="false" customHeight="true" outlineLevel="0" collapsed="false">
      <c r="A187" s="24"/>
      <c r="B187" s="28"/>
      <c r="C187" s="24"/>
      <c r="D187" s="29"/>
      <c r="E187" s="30"/>
    </row>
    <row r="188" customFormat="false" ht="15" hidden="false" customHeight="true" outlineLevel="0" collapsed="false">
      <c r="A188" s="24"/>
      <c r="B188" s="28"/>
      <c r="C188" s="24"/>
      <c r="D188" s="29"/>
      <c r="E188" s="30"/>
    </row>
    <row r="189" customFormat="false" ht="15" hidden="false" customHeight="true" outlineLevel="0" collapsed="false">
      <c r="A189" s="24"/>
      <c r="B189" s="28"/>
      <c r="C189" s="24"/>
      <c r="D189" s="29"/>
      <c r="E189" s="30"/>
    </row>
    <row r="190" customFormat="false" ht="15" hidden="false" customHeight="true" outlineLevel="0" collapsed="false">
      <c r="A190" s="24"/>
      <c r="B190" s="28"/>
      <c r="C190" s="24"/>
      <c r="D190" s="29"/>
      <c r="E190" s="30"/>
    </row>
    <row r="191" customFormat="false" ht="15" hidden="false" customHeight="true" outlineLevel="0" collapsed="false">
      <c r="A191" s="24"/>
      <c r="B191" s="28"/>
      <c r="C191" s="24"/>
      <c r="D191" s="29"/>
      <c r="E191" s="30"/>
    </row>
    <row r="192" customFormat="false" ht="15" hidden="false" customHeight="true" outlineLevel="0" collapsed="false">
      <c r="A192" s="24"/>
      <c r="B192" s="28"/>
      <c r="C192" s="24"/>
      <c r="D192" s="29"/>
      <c r="E192" s="30"/>
    </row>
    <row r="193" customFormat="false" ht="15" hidden="false" customHeight="true" outlineLevel="0" collapsed="false">
      <c r="A193" s="24"/>
      <c r="B193" s="28"/>
      <c r="C193" s="24"/>
      <c r="D193" s="29"/>
      <c r="E193" s="30"/>
    </row>
    <row r="194" customFormat="false" ht="15" hidden="false" customHeight="true" outlineLevel="0" collapsed="false">
      <c r="A194" s="24"/>
      <c r="B194" s="28"/>
      <c r="C194" s="24"/>
      <c r="D194" s="29"/>
      <c r="E194" s="30"/>
    </row>
    <row r="195" customFormat="false" ht="15" hidden="false" customHeight="true" outlineLevel="0" collapsed="false">
      <c r="A195" s="24"/>
      <c r="B195" s="28"/>
      <c r="C195" s="24"/>
      <c r="D195" s="29"/>
      <c r="E195" s="30"/>
    </row>
    <row r="196" customFormat="false" ht="15" hidden="false" customHeight="true" outlineLevel="0" collapsed="false">
      <c r="A196" s="24"/>
      <c r="B196" s="28"/>
      <c r="C196" s="24"/>
      <c r="D196" s="29"/>
      <c r="E196" s="30"/>
    </row>
    <row r="197" customFormat="false" ht="15" hidden="false" customHeight="true" outlineLevel="0" collapsed="false">
      <c r="A197" s="24"/>
      <c r="B197" s="28"/>
      <c r="C197" s="24"/>
      <c r="D197" s="29"/>
      <c r="E197" s="30"/>
    </row>
    <row r="198" customFormat="false" ht="15" hidden="false" customHeight="true" outlineLevel="0" collapsed="false">
      <c r="A198" s="24"/>
      <c r="B198" s="28"/>
      <c r="C198" s="24"/>
      <c r="D198" s="29"/>
      <c r="E198" s="30"/>
    </row>
    <row r="199" customFormat="false" ht="15" hidden="false" customHeight="true" outlineLevel="0" collapsed="false">
      <c r="A199" s="24"/>
      <c r="B199" s="28"/>
      <c r="C199" s="24"/>
      <c r="D199" s="29"/>
      <c r="E199" s="30"/>
    </row>
    <row r="200" customFormat="false" ht="15" hidden="false" customHeight="true" outlineLevel="0" collapsed="false">
      <c r="A200" s="24"/>
      <c r="B200" s="28"/>
      <c r="C200" s="24"/>
      <c r="D200" s="29"/>
      <c r="E200" s="30"/>
    </row>
    <row r="201" customFormat="false" ht="15" hidden="false" customHeight="true" outlineLevel="0" collapsed="false">
      <c r="A201" s="24"/>
      <c r="B201" s="28"/>
      <c r="C201" s="24"/>
      <c r="D201" s="29"/>
      <c r="E201" s="30"/>
    </row>
    <row r="202" customFormat="false" ht="15" hidden="false" customHeight="true" outlineLevel="0" collapsed="false">
      <c r="A202" s="24"/>
      <c r="B202" s="28"/>
      <c r="C202" s="24"/>
      <c r="D202" s="29"/>
      <c r="E202" s="30"/>
    </row>
    <row r="203" customFormat="false" ht="15" hidden="false" customHeight="true" outlineLevel="0" collapsed="false">
      <c r="A203" s="24"/>
      <c r="B203" s="28"/>
      <c r="C203" s="24"/>
      <c r="D203" s="29"/>
      <c r="E203" s="30"/>
    </row>
    <row r="204" customFormat="false" ht="15" hidden="false" customHeight="true" outlineLevel="0" collapsed="false">
      <c r="A204" s="24"/>
      <c r="B204" s="28"/>
      <c r="C204" s="24"/>
      <c r="D204" s="29"/>
      <c r="E204" s="30"/>
    </row>
    <row r="205" customFormat="false" ht="15" hidden="false" customHeight="true" outlineLevel="0" collapsed="false">
      <c r="A205" s="24"/>
      <c r="B205" s="28"/>
      <c r="C205" s="24"/>
      <c r="D205" s="29"/>
      <c r="E205" s="30"/>
    </row>
    <row r="206" customFormat="false" ht="15" hidden="false" customHeight="true" outlineLevel="0" collapsed="false">
      <c r="A206" s="24"/>
      <c r="B206" s="28"/>
      <c r="C206" s="24"/>
      <c r="D206" s="29"/>
      <c r="E206" s="30"/>
    </row>
    <row r="207" customFormat="false" ht="15" hidden="false" customHeight="true" outlineLevel="0" collapsed="false">
      <c r="A207" s="24"/>
      <c r="B207" s="28"/>
      <c r="C207" s="24"/>
      <c r="D207" s="29"/>
      <c r="E207" s="30"/>
    </row>
    <row r="208" customFormat="false" ht="15" hidden="false" customHeight="true" outlineLevel="0" collapsed="false">
      <c r="A208" s="24"/>
      <c r="B208" s="28"/>
      <c r="C208" s="24"/>
      <c r="D208" s="29"/>
      <c r="E208" s="30"/>
    </row>
    <row r="209" customFormat="false" ht="15" hidden="false" customHeight="true" outlineLevel="0" collapsed="false">
      <c r="A209" s="24"/>
      <c r="B209" s="28"/>
      <c r="C209" s="24"/>
      <c r="D209" s="29"/>
      <c r="E209" s="30"/>
    </row>
    <row r="210" customFormat="false" ht="15" hidden="false" customHeight="true" outlineLevel="0" collapsed="false">
      <c r="A210" s="24"/>
      <c r="B210" s="28"/>
      <c r="C210" s="24"/>
      <c r="D210" s="29"/>
      <c r="E210" s="30"/>
    </row>
    <row r="211" customFormat="false" ht="15" hidden="false" customHeight="true" outlineLevel="0" collapsed="false">
      <c r="A211" s="24"/>
      <c r="B211" s="28"/>
      <c r="C211" s="24"/>
      <c r="D211" s="29"/>
      <c r="E211" s="30"/>
    </row>
    <row r="212" customFormat="false" ht="15" hidden="false" customHeight="true" outlineLevel="0" collapsed="false">
      <c r="A212" s="24"/>
      <c r="B212" s="28"/>
      <c r="C212" s="24"/>
      <c r="D212" s="29"/>
      <c r="E212" s="30"/>
    </row>
    <row r="213" customFormat="false" ht="15" hidden="false" customHeight="true" outlineLevel="0" collapsed="false">
      <c r="A213" s="24"/>
      <c r="B213" s="28"/>
      <c r="C213" s="24"/>
      <c r="D213" s="29"/>
      <c r="E213" s="30"/>
    </row>
    <row r="214" customFormat="false" ht="15" hidden="false" customHeight="true" outlineLevel="0" collapsed="false">
      <c r="A214" s="24"/>
      <c r="B214" s="28"/>
      <c r="C214" s="24"/>
      <c r="D214" s="29"/>
      <c r="E214" s="30"/>
    </row>
    <row r="215" customFormat="false" ht="15" hidden="false" customHeight="true" outlineLevel="0" collapsed="false">
      <c r="A215" s="24"/>
      <c r="B215" s="28"/>
      <c r="C215" s="24"/>
      <c r="D215" s="29"/>
      <c r="E215" s="30"/>
    </row>
    <row r="216" customFormat="false" ht="15" hidden="false" customHeight="true" outlineLevel="0" collapsed="false">
      <c r="A216" s="24"/>
      <c r="B216" s="28"/>
      <c r="C216" s="24"/>
      <c r="D216" s="29"/>
      <c r="E216" s="30"/>
    </row>
    <row r="217" customFormat="false" ht="15" hidden="false" customHeight="true" outlineLevel="0" collapsed="false">
      <c r="A217" s="24"/>
      <c r="B217" s="28"/>
      <c r="C217" s="24"/>
      <c r="D217" s="29"/>
      <c r="E217" s="30"/>
    </row>
    <row r="218" customFormat="false" ht="15" hidden="false" customHeight="true" outlineLevel="0" collapsed="false">
      <c r="A218" s="24"/>
      <c r="B218" s="28"/>
      <c r="C218" s="24"/>
      <c r="D218" s="29"/>
      <c r="E218" s="30"/>
    </row>
    <row r="219" customFormat="false" ht="15" hidden="false" customHeight="true" outlineLevel="0" collapsed="false">
      <c r="A219" s="24"/>
      <c r="B219" s="28"/>
      <c r="C219" s="24"/>
      <c r="D219" s="29"/>
      <c r="E219" s="30"/>
    </row>
    <row r="220" customFormat="false" ht="15" hidden="false" customHeight="true" outlineLevel="0" collapsed="false">
      <c r="A220" s="24"/>
      <c r="B220" s="28"/>
      <c r="C220" s="24"/>
      <c r="D220" s="29"/>
      <c r="E220" s="30"/>
    </row>
    <row r="221" customFormat="false" ht="15" hidden="false" customHeight="true" outlineLevel="0" collapsed="false">
      <c r="A221" s="24"/>
      <c r="B221" s="28"/>
      <c r="C221" s="24"/>
      <c r="D221" s="29"/>
      <c r="E221" s="30"/>
    </row>
    <row r="222" customFormat="false" ht="15" hidden="false" customHeight="true" outlineLevel="0" collapsed="false">
      <c r="A222" s="24"/>
      <c r="B222" s="28"/>
      <c r="C222" s="24"/>
      <c r="D222" s="29"/>
      <c r="E222" s="30"/>
    </row>
    <row r="223" customFormat="false" ht="15" hidden="false" customHeight="true" outlineLevel="0" collapsed="false">
      <c r="A223" s="24"/>
      <c r="B223" s="28"/>
      <c r="C223" s="24"/>
      <c r="D223" s="29"/>
      <c r="E223" s="30"/>
    </row>
    <row r="224" customFormat="false" ht="15" hidden="false" customHeight="true" outlineLevel="0" collapsed="false">
      <c r="A224" s="24"/>
      <c r="B224" s="28"/>
      <c r="C224" s="24"/>
      <c r="D224" s="29"/>
      <c r="E224" s="30"/>
    </row>
    <row r="225" customFormat="false" ht="15" hidden="false" customHeight="true" outlineLevel="0" collapsed="false">
      <c r="A225" s="24"/>
      <c r="B225" s="28"/>
      <c r="C225" s="24"/>
      <c r="D225" s="29"/>
      <c r="E225" s="30"/>
    </row>
    <row r="226" customFormat="false" ht="15" hidden="false" customHeight="true" outlineLevel="0" collapsed="false">
      <c r="A226" s="24"/>
      <c r="B226" s="28"/>
      <c r="C226" s="24"/>
      <c r="D226" s="29"/>
      <c r="E226" s="30"/>
    </row>
    <row r="227" customFormat="false" ht="15" hidden="false" customHeight="true" outlineLevel="0" collapsed="false">
      <c r="A227" s="24"/>
      <c r="B227" s="28"/>
      <c r="C227" s="24"/>
      <c r="D227" s="29"/>
      <c r="E227" s="30"/>
    </row>
    <row r="228" customFormat="false" ht="15" hidden="false" customHeight="true" outlineLevel="0" collapsed="false">
      <c r="A228" s="24"/>
      <c r="B228" s="28"/>
      <c r="C228" s="24"/>
      <c r="D228" s="29"/>
      <c r="E228" s="30"/>
    </row>
    <row r="229" customFormat="false" ht="15" hidden="false" customHeight="true" outlineLevel="0" collapsed="false">
      <c r="A229" s="24"/>
      <c r="B229" s="28"/>
      <c r="C229" s="24"/>
      <c r="D229" s="29"/>
      <c r="E229" s="30"/>
    </row>
    <row r="230" customFormat="false" ht="15" hidden="false" customHeight="true" outlineLevel="0" collapsed="false">
      <c r="A230" s="24"/>
      <c r="B230" s="28"/>
      <c r="C230" s="24"/>
      <c r="D230" s="29"/>
      <c r="E230" s="30"/>
    </row>
    <row r="231" customFormat="false" ht="15" hidden="false" customHeight="true" outlineLevel="0" collapsed="false">
      <c r="A231" s="24"/>
      <c r="B231" s="28"/>
      <c r="C231" s="24"/>
      <c r="D231" s="29"/>
      <c r="E231" s="30"/>
    </row>
    <row r="232" customFormat="false" ht="15" hidden="false" customHeight="true" outlineLevel="0" collapsed="false">
      <c r="A232" s="24"/>
      <c r="B232" s="28"/>
      <c r="C232" s="24"/>
      <c r="D232" s="29"/>
      <c r="E232" s="30"/>
    </row>
    <row r="233" customFormat="false" ht="15" hidden="false" customHeight="true" outlineLevel="0" collapsed="false">
      <c r="A233" s="24"/>
      <c r="B233" s="28"/>
      <c r="C233" s="24"/>
      <c r="D233" s="29"/>
      <c r="E233" s="30"/>
    </row>
    <row r="234" customFormat="false" ht="15" hidden="false" customHeight="true" outlineLevel="0" collapsed="false">
      <c r="A234" s="24"/>
      <c r="B234" s="28"/>
      <c r="C234" s="24"/>
      <c r="D234" s="29"/>
      <c r="E234" s="30"/>
    </row>
    <row r="235" customFormat="false" ht="15" hidden="false" customHeight="true" outlineLevel="0" collapsed="false">
      <c r="A235" s="24"/>
      <c r="B235" s="28"/>
      <c r="C235" s="24"/>
      <c r="D235" s="29"/>
      <c r="E235" s="30"/>
    </row>
    <row r="236" customFormat="false" ht="15" hidden="false" customHeight="true" outlineLevel="0" collapsed="false">
      <c r="A236" s="24"/>
      <c r="B236" s="28"/>
      <c r="C236" s="24"/>
      <c r="D236" s="29"/>
      <c r="E236" s="30"/>
    </row>
    <row r="237" customFormat="false" ht="15" hidden="false" customHeight="true" outlineLevel="0" collapsed="false">
      <c r="A237" s="24"/>
      <c r="B237" s="28"/>
      <c r="C237" s="24"/>
      <c r="D237" s="29"/>
      <c r="E237" s="30"/>
    </row>
    <row r="238" customFormat="false" ht="15" hidden="false" customHeight="true" outlineLevel="0" collapsed="false">
      <c r="A238" s="24"/>
      <c r="B238" s="28"/>
      <c r="C238" s="24"/>
      <c r="D238" s="29"/>
      <c r="E238" s="30"/>
    </row>
    <row r="239" customFormat="false" ht="15" hidden="false" customHeight="true" outlineLevel="0" collapsed="false">
      <c r="A239" s="24"/>
      <c r="B239" s="28"/>
      <c r="C239" s="24"/>
      <c r="D239" s="29"/>
      <c r="E239" s="30"/>
    </row>
    <row r="240" customFormat="false" ht="15" hidden="false" customHeight="true" outlineLevel="0" collapsed="false">
      <c r="A240" s="24"/>
      <c r="B240" s="28"/>
      <c r="C240" s="24"/>
      <c r="D240" s="29"/>
      <c r="E240" s="30"/>
    </row>
    <row r="241" customFormat="false" ht="15" hidden="false" customHeight="true" outlineLevel="0" collapsed="false">
      <c r="A241" s="24"/>
      <c r="B241" s="28"/>
      <c r="C241" s="24"/>
      <c r="D241" s="29"/>
      <c r="E241" s="30"/>
    </row>
    <row r="242" customFormat="false" ht="15" hidden="false" customHeight="true" outlineLevel="0" collapsed="false">
      <c r="A242" s="24"/>
      <c r="B242" s="28"/>
      <c r="C242" s="24"/>
      <c r="D242" s="29"/>
      <c r="E242" s="30"/>
    </row>
    <row r="243" customFormat="false" ht="15" hidden="false" customHeight="true" outlineLevel="0" collapsed="false">
      <c r="A243" s="24"/>
      <c r="B243" s="28"/>
      <c r="C243" s="24"/>
      <c r="D243" s="29"/>
      <c r="E243" s="30"/>
    </row>
    <row r="244" customFormat="false" ht="15" hidden="false" customHeight="true" outlineLevel="0" collapsed="false">
      <c r="A244" s="24"/>
      <c r="B244" s="28"/>
      <c r="C244" s="24"/>
      <c r="D244" s="29"/>
      <c r="E244" s="30"/>
    </row>
    <row r="245" customFormat="false" ht="15" hidden="false" customHeight="true" outlineLevel="0" collapsed="false">
      <c r="A245" s="24"/>
      <c r="B245" s="28"/>
      <c r="C245" s="24"/>
      <c r="D245" s="29"/>
      <c r="E245" s="30"/>
    </row>
    <row r="246" customFormat="false" ht="15" hidden="false" customHeight="true" outlineLevel="0" collapsed="false">
      <c r="A246" s="24"/>
      <c r="B246" s="28"/>
      <c r="C246" s="24"/>
      <c r="D246" s="29"/>
      <c r="E246" s="30"/>
    </row>
    <row r="247" customFormat="false" ht="15" hidden="false" customHeight="true" outlineLevel="0" collapsed="false">
      <c r="A247" s="24"/>
      <c r="B247" s="28"/>
      <c r="C247" s="24"/>
      <c r="D247" s="29"/>
      <c r="E247" s="30"/>
    </row>
    <row r="248" customFormat="false" ht="15" hidden="false" customHeight="true" outlineLevel="0" collapsed="false">
      <c r="A248" s="24"/>
      <c r="B248" s="28"/>
      <c r="C248" s="24"/>
      <c r="D248" s="29"/>
      <c r="E248" s="30"/>
    </row>
    <row r="249" customFormat="false" ht="15" hidden="false" customHeight="true" outlineLevel="0" collapsed="false">
      <c r="A249" s="24"/>
      <c r="B249" s="28"/>
      <c r="C249" s="24"/>
      <c r="D249" s="29"/>
      <c r="E249" s="30"/>
    </row>
    <row r="250" customFormat="false" ht="15" hidden="false" customHeight="true" outlineLevel="0" collapsed="false">
      <c r="A250" s="24"/>
      <c r="B250" s="28"/>
      <c r="C250" s="24"/>
      <c r="D250" s="29"/>
      <c r="E250" s="30"/>
    </row>
    <row r="251" customFormat="false" ht="15" hidden="false" customHeight="true" outlineLevel="0" collapsed="false">
      <c r="A251" s="24"/>
      <c r="B251" s="28"/>
      <c r="C251" s="24"/>
      <c r="D251" s="29"/>
      <c r="E251" s="30"/>
    </row>
    <row r="252" customFormat="false" ht="15" hidden="false" customHeight="true" outlineLevel="0" collapsed="false">
      <c r="A252" s="24"/>
      <c r="B252" s="28"/>
      <c r="C252" s="24"/>
      <c r="D252" s="29"/>
      <c r="E252" s="30"/>
    </row>
    <row r="253" customFormat="false" ht="15" hidden="false" customHeight="true" outlineLevel="0" collapsed="false">
      <c r="A253" s="24"/>
      <c r="B253" s="28"/>
      <c r="C253" s="24"/>
      <c r="D253" s="29"/>
      <c r="E253" s="30"/>
    </row>
    <row r="254" customFormat="false" ht="15" hidden="false" customHeight="true" outlineLevel="0" collapsed="false">
      <c r="A254" s="24"/>
      <c r="B254" s="28"/>
      <c r="C254" s="24"/>
      <c r="D254" s="29"/>
      <c r="E254" s="30"/>
    </row>
    <row r="255" customFormat="false" ht="15" hidden="false" customHeight="true" outlineLevel="0" collapsed="false">
      <c r="A255" s="24"/>
      <c r="B255" s="28"/>
      <c r="C255" s="24"/>
      <c r="D255" s="29"/>
      <c r="E255" s="30"/>
    </row>
    <row r="256" customFormat="false" ht="15" hidden="false" customHeight="true" outlineLevel="0" collapsed="false">
      <c r="A256" s="24"/>
      <c r="B256" s="28"/>
      <c r="C256" s="24"/>
      <c r="D256" s="29"/>
      <c r="E256" s="30"/>
    </row>
    <row r="257" customFormat="false" ht="15" hidden="false" customHeight="true" outlineLevel="0" collapsed="false">
      <c r="A257" s="24"/>
      <c r="B257" s="28"/>
      <c r="C257" s="24"/>
      <c r="D257" s="29"/>
      <c r="E257" s="30"/>
    </row>
    <row r="258" customFormat="false" ht="15" hidden="false" customHeight="true" outlineLevel="0" collapsed="false">
      <c r="A258" s="24"/>
      <c r="B258" s="28"/>
      <c r="C258" s="24"/>
      <c r="D258" s="29"/>
      <c r="E258" s="30"/>
    </row>
    <row r="259" customFormat="false" ht="15" hidden="false" customHeight="true" outlineLevel="0" collapsed="false">
      <c r="A259" s="24"/>
      <c r="B259" s="28"/>
      <c r="C259" s="24"/>
      <c r="D259" s="29"/>
      <c r="E259" s="30"/>
    </row>
    <row r="260" customFormat="false" ht="15" hidden="false" customHeight="true" outlineLevel="0" collapsed="false">
      <c r="A260" s="24"/>
      <c r="B260" s="28"/>
      <c r="C260" s="24"/>
      <c r="D260" s="29"/>
      <c r="E260" s="30"/>
    </row>
    <row r="261" customFormat="false" ht="15" hidden="false" customHeight="true" outlineLevel="0" collapsed="false">
      <c r="A261" s="24"/>
      <c r="B261" s="28"/>
      <c r="C261" s="24"/>
      <c r="D261" s="29"/>
      <c r="E261" s="30"/>
    </row>
    <row r="262" customFormat="false" ht="15" hidden="false" customHeight="true" outlineLevel="0" collapsed="false">
      <c r="A262" s="24"/>
      <c r="B262" s="28"/>
      <c r="C262" s="24"/>
      <c r="D262" s="29"/>
      <c r="E262" s="30"/>
    </row>
    <row r="263" customFormat="false" ht="15" hidden="false" customHeight="true" outlineLevel="0" collapsed="false">
      <c r="A263" s="24"/>
      <c r="B263" s="28"/>
      <c r="C263" s="24"/>
      <c r="D263" s="29"/>
      <c r="E263" s="30"/>
    </row>
    <row r="264" customFormat="false" ht="15" hidden="false" customHeight="true" outlineLevel="0" collapsed="false">
      <c r="A264" s="24"/>
      <c r="B264" s="28"/>
      <c r="C264" s="24"/>
      <c r="D264" s="29"/>
      <c r="E264" s="30"/>
    </row>
    <row r="265" customFormat="false" ht="15" hidden="false" customHeight="true" outlineLevel="0" collapsed="false">
      <c r="A265" s="24"/>
      <c r="B265" s="28"/>
      <c r="C265" s="24"/>
      <c r="D265" s="29"/>
      <c r="E265" s="30"/>
    </row>
    <row r="266" customFormat="false" ht="15" hidden="false" customHeight="true" outlineLevel="0" collapsed="false">
      <c r="A266" s="24"/>
      <c r="B266" s="28"/>
      <c r="C266" s="24"/>
      <c r="D266" s="29"/>
      <c r="E266" s="30"/>
    </row>
    <row r="267" customFormat="false" ht="15" hidden="false" customHeight="true" outlineLevel="0" collapsed="false">
      <c r="A267" s="24"/>
      <c r="B267" s="28"/>
      <c r="C267" s="24"/>
      <c r="D267" s="29"/>
      <c r="E267" s="30"/>
    </row>
    <row r="268" customFormat="false" ht="15" hidden="false" customHeight="true" outlineLevel="0" collapsed="false">
      <c r="A268" s="24"/>
      <c r="B268" s="28"/>
      <c r="C268" s="24"/>
      <c r="D268" s="29"/>
      <c r="E268" s="30"/>
    </row>
    <row r="269" customFormat="false" ht="15" hidden="false" customHeight="true" outlineLevel="0" collapsed="false">
      <c r="A269" s="24"/>
      <c r="B269" s="28"/>
      <c r="C269" s="24"/>
      <c r="D269" s="29"/>
      <c r="E269" s="30"/>
    </row>
    <row r="270" customFormat="false" ht="15" hidden="false" customHeight="true" outlineLevel="0" collapsed="false">
      <c r="A270" s="24"/>
      <c r="B270" s="28"/>
      <c r="C270" s="24"/>
      <c r="D270" s="29"/>
      <c r="E270" s="30"/>
    </row>
    <row r="271" customFormat="false" ht="15" hidden="false" customHeight="true" outlineLevel="0" collapsed="false">
      <c r="A271" s="24"/>
      <c r="B271" s="28"/>
      <c r="C271" s="24"/>
      <c r="D271" s="29"/>
      <c r="E271" s="30"/>
    </row>
    <row r="272" customFormat="false" ht="15" hidden="false" customHeight="true" outlineLevel="0" collapsed="false">
      <c r="A272" s="24"/>
      <c r="B272" s="28"/>
      <c r="C272" s="24"/>
      <c r="D272" s="29"/>
      <c r="E272" s="30"/>
    </row>
    <row r="273" customFormat="false" ht="15" hidden="false" customHeight="true" outlineLevel="0" collapsed="false">
      <c r="A273" s="24"/>
      <c r="B273" s="28"/>
      <c r="C273" s="24"/>
      <c r="D273" s="29"/>
      <c r="E273" s="30"/>
    </row>
    <row r="274" customFormat="false" ht="15" hidden="false" customHeight="true" outlineLevel="0" collapsed="false">
      <c r="A274" s="24"/>
      <c r="B274" s="28"/>
      <c r="C274" s="24"/>
      <c r="D274" s="29"/>
      <c r="E274" s="30"/>
    </row>
    <row r="275" customFormat="false" ht="15" hidden="false" customHeight="true" outlineLevel="0" collapsed="false">
      <c r="A275" s="24"/>
      <c r="B275" s="28"/>
      <c r="C275" s="24"/>
      <c r="D275" s="29"/>
      <c r="E275" s="30"/>
    </row>
    <row r="276" customFormat="false" ht="15" hidden="false" customHeight="true" outlineLevel="0" collapsed="false">
      <c r="A276" s="24"/>
      <c r="B276" s="28"/>
      <c r="C276" s="24"/>
      <c r="D276" s="29"/>
      <c r="E276" s="30"/>
    </row>
    <row r="277" customFormat="false" ht="15" hidden="false" customHeight="true" outlineLevel="0" collapsed="false">
      <c r="A277" s="24"/>
      <c r="B277" s="28"/>
      <c r="C277" s="24"/>
      <c r="D277" s="29"/>
      <c r="E277" s="30"/>
    </row>
    <row r="278" customFormat="false" ht="15" hidden="false" customHeight="true" outlineLevel="0" collapsed="false">
      <c r="A278" s="24"/>
      <c r="B278" s="28"/>
      <c r="C278" s="24"/>
      <c r="D278" s="29"/>
      <c r="E278" s="30"/>
    </row>
    <row r="279" customFormat="false" ht="15" hidden="false" customHeight="true" outlineLevel="0" collapsed="false">
      <c r="A279" s="24"/>
      <c r="B279" s="28"/>
      <c r="C279" s="24"/>
      <c r="D279" s="29"/>
      <c r="E279" s="30"/>
    </row>
    <row r="280" customFormat="false" ht="15" hidden="false" customHeight="true" outlineLevel="0" collapsed="false">
      <c r="A280" s="24"/>
      <c r="B280" s="28"/>
      <c r="C280" s="24"/>
      <c r="D280" s="29"/>
      <c r="E280" s="30"/>
    </row>
    <row r="281" customFormat="false" ht="15" hidden="false" customHeight="true" outlineLevel="0" collapsed="false">
      <c r="A281" s="24"/>
      <c r="B281" s="28"/>
      <c r="C281" s="24"/>
      <c r="D281" s="29"/>
      <c r="E281" s="30"/>
    </row>
    <row r="282" customFormat="false" ht="15" hidden="false" customHeight="true" outlineLevel="0" collapsed="false">
      <c r="A282" s="24"/>
      <c r="B282" s="28"/>
      <c r="C282" s="24"/>
      <c r="D282" s="29"/>
      <c r="E282" s="30"/>
    </row>
    <row r="283" customFormat="false" ht="15" hidden="false" customHeight="true" outlineLevel="0" collapsed="false">
      <c r="A283" s="24"/>
      <c r="B283" s="28"/>
      <c r="C283" s="24"/>
      <c r="D283" s="29"/>
      <c r="E283" s="30"/>
    </row>
    <row r="284" customFormat="false" ht="15" hidden="false" customHeight="true" outlineLevel="0" collapsed="false">
      <c r="A284" s="24"/>
      <c r="B284" s="28"/>
      <c r="C284" s="24"/>
      <c r="D284" s="29"/>
      <c r="E284" s="30"/>
    </row>
    <row r="285" customFormat="false" ht="15" hidden="false" customHeight="true" outlineLevel="0" collapsed="false">
      <c r="A285" s="24"/>
      <c r="B285" s="28"/>
      <c r="C285" s="24"/>
      <c r="D285" s="29"/>
      <c r="E285" s="30"/>
    </row>
    <row r="286" customFormat="false" ht="15" hidden="false" customHeight="true" outlineLevel="0" collapsed="false">
      <c r="A286" s="24"/>
      <c r="B286" s="28"/>
      <c r="C286" s="24"/>
      <c r="D286" s="29"/>
      <c r="E286" s="30"/>
    </row>
    <row r="287" customFormat="false" ht="15" hidden="false" customHeight="true" outlineLevel="0" collapsed="false">
      <c r="A287" s="24"/>
      <c r="B287" s="28"/>
      <c r="C287" s="24"/>
      <c r="D287" s="29"/>
      <c r="E287" s="30"/>
    </row>
    <row r="288" customFormat="false" ht="15" hidden="false" customHeight="true" outlineLevel="0" collapsed="false">
      <c r="A288" s="24"/>
      <c r="B288" s="28"/>
      <c r="C288" s="24"/>
      <c r="D288" s="29"/>
      <c r="E288" s="30"/>
    </row>
    <row r="289" customFormat="false" ht="15" hidden="false" customHeight="true" outlineLevel="0" collapsed="false">
      <c r="A289" s="24"/>
      <c r="B289" s="28"/>
      <c r="C289" s="24"/>
      <c r="D289" s="29"/>
      <c r="E289" s="30"/>
    </row>
    <row r="290" customFormat="false" ht="15" hidden="false" customHeight="true" outlineLevel="0" collapsed="false">
      <c r="A290" s="24"/>
      <c r="B290" s="28"/>
      <c r="C290" s="24"/>
      <c r="D290" s="29"/>
      <c r="E290" s="30"/>
    </row>
    <row r="291" customFormat="false" ht="15" hidden="false" customHeight="true" outlineLevel="0" collapsed="false">
      <c r="A291" s="24"/>
      <c r="B291" s="28"/>
      <c r="C291" s="24"/>
      <c r="D291" s="29"/>
      <c r="E291" s="30"/>
    </row>
    <row r="292" customFormat="false" ht="15" hidden="false" customHeight="true" outlineLevel="0" collapsed="false">
      <c r="A292" s="24"/>
      <c r="B292" s="28"/>
      <c r="C292" s="24"/>
      <c r="D292" s="29"/>
      <c r="E292" s="30"/>
    </row>
    <row r="293" customFormat="false" ht="15" hidden="false" customHeight="true" outlineLevel="0" collapsed="false">
      <c r="A293" s="24"/>
      <c r="B293" s="28"/>
      <c r="C293" s="24"/>
      <c r="D293" s="29"/>
      <c r="E293" s="30"/>
    </row>
    <row r="294" customFormat="false" ht="15" hidden="false" customHeight="true" outlineLevel="0" collapsed="false">
      <c r="A294" s="24"/>
      <c r="B294" s="28"/>
      <c r="C294" s="24"/>
      <c r="D294" s="29"/>
      <c r="E294" s="30"/>
    </row>
    <row r="295" customFormat="false" ht="15" hidden="false" customHeight="true" outlineLevel="0" collapsed="false">
      <c r="A295" s="24"/>
      <c r="B295" s="28"/>
      <c r="C295" s="24"/>
      <c r="D295" s="29"/>
      <c r="E295" s="30"/>
    </row>
    <row r="296" customFormat="false" ht="15" hidden="false" customHeight="true" outlineLevel="0" collapsed="false">
      <c r="A296" s="24"/>
      <c r="B296" s="28"/>
      <c r="C296" s="24"/>
      <c r="D296" s="29"/>
      <c r="E296" s="30"/>
    </row>
    <row r="297" customFormat="false" ht="15" hidden="false" customHeight="true" outlineLevel="0" collapsed="false">
      <c r="A297" s="24"/>
      <c r="B297" s="28"/>
      <c r="C297" s="24"/>
      <c r="D297" s="29"/>
      <c r="E297" s="30"/>
    </row>
    <row r="298" customFormat="false" ht="15" hidden="false" customHeight="true" outlineLevel="0" collapsed="false">
      <c r="A298" s="24"/>
      <c r="B298" s="28"/>
      <c r="C298" s="24"/>
      <c r="D298" s="29"/>
      <c r="E298" s="30"/>
    </row>
    <row r="299" customFormat="false" ht="15" hidden="false" customHeight="true" outlineLevel="0" collapsed="false">
      <c r="A299" s="24"/>
      <c r="B299" s="28"/>
      <c r="C299" s="24"/>
      <c r="D299" s="29"/>
      <c r="E299" s="30"/>
    </row>
    <row r="300" customFormat="false" ht="15" hidden="false" customHeight="true" outlineLevel="0" collapsed="false">
      <c r="A300" s="24"/>
      <c r="B300" s="28"/>
      <c r="C300" s="24"/>
      <c r="D300" s="29"/>
      <c r="E300" s="30"/>
    </row>
    <row r="301" customFormat="false" ht="15" hidden="false" customHeight="true" outlineLevel="0" collapsed="false">
      <c r="A301" s="24"/>
      <c r="B301" s="28"/>
      <c r="C301" s="24"/>
      <c r="D301" s="29"/>
      <c r="E301" s="30"/>
    </row>
    <row r="302" customFormat="false" ht="15" hidden="false" customHeight="true" outlineLevel="0" collapsed="false">
      <c r="A302" s="24"/>
      <c r="B302" s="28"/>
      <c r="C302" s="24"/>
      <c r="D302" s="29"/>
      <c r="E302" s="30"/>
    </row>
    <row r="303" customFormat="false" ht="15" hidden="false" customHeight="true" outlineLevel="0" collapsed="false">
      <c r="A303" s="24"/>
      <c r="B303" s="28"/>
      <c r="C303" s="24"/>
      <c r="D303" s="29"/>
      <c r="E303" s="30"/>
    </row>
    <row r="304" customFormat="false" ht="15" hidden="false" customHeight="true" outlineLevel="0" collapsed="false">
      <c r="A304" s="24"/>
      <c r="B304" s="28"/>
      <c r="C304" s="24"/>
      <c r="D304" s="29"/>
      <c r="E304" s="30"/>
    </row>
  </sheetData>
  <dataValidations count="1">
    <dataValidation allowBlank="true" errorStyle="stop" operator="between" prompt="GST rate (0%, 0.25%, 3%, 5%, 18%, 40%)" promptTitle="Select" showDropDown="false" showErrorMessage="false" showInputMessage="true" sqref="E5:E304" type="list">
      <formula1>"0,0.0025,0.03,0.05,0.18,0.4"</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V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11"/>
    <col collapsed="false" customWidth="true" hidden="false" outlineLevel="0" max="4" min="3" style="1" width="26"/>
    <col collapsed="false" customWidth="true" hidden="false" outlineLevel="0" max="5" min="5" style="1" width="7"/>
    <col collapsed="false" customWidth="true" hidden="false" outlineLevel="0" max="6" min="6" style="1" width="10"/>
    <col collapsed="false" customWidth="true" hidden="false" outlineLevel="0" max="7" min="7" style="1" width="7"/>
    <col collapsed="false" customWidth="true" hidden="false" outlineLevel="0" max="8" min="8" style="1" width="14"/>
    <col collapsed="false" customWidth="true" hidden="false" outlineLevel="0" max="22" min="9" style="1" width="11"/>
  </cols>
  <sheetData>
    <row r="1" customFormat="false" ht="21.75" hidden="false" customHeight="true" outlineLevel="0" collapsed="false">
      <c r="A1" s="13" t="s">
        <v>132</v>
      </c>
      <c r="V1" s="14" t="s">
        <v>58</v>
      </c>
    </row>
    <row r="2" customFormat="false" ht="15" hidden="false" customHeight="true" outlineLevel="0" collapsed="false">
      <c r="A2" s="3" t="s">
        <v>133</v>
      </c>
    </row>
    <row r="4" customFormat="false" ht="33.75" hidden="false" customHeight="true" outlineLevel="0" collapsed="false">
      <c r="A4" s="21" t="s">
        <v>134</v>
      </c>
      <c r="B4" s="22" t="s">
        <v>135</v>
      </c>
      <c r="C4" s="22" t="s">
        <v>136</v>
      </c>
      <c r="D4" s="22" t="s">
        <v>111</v>
      </c>
      <c r="E4" s="22" t="s">
        <v>137</v>
      </c>
      <c r="F4" s="22" t="s">
        <v>138</v>
      </c>
      <c r="G4" s="22" t="s">
        <v>139</v>
      </c>
      <c r="H4" s="22" t="s">
        <v>140</v>
      </c>
      <c r="I4" s="22" t="s">
        <v>112</v>
      </c>
      <c r="J4" s="22" t="s">
        <v>113</v>
      </c>
      <c r="K4" s="22" t="s">
        <v>141</v>
      </c>
      <c r="L4" s="22" t="s">
        <v>142</v>
      </c>
      <c r="M4" s="22" t="s">
        <v>115</v>
      </c>
      <c r="N4" s="22" t="s">
        <v>143</v>
      </c>
      <c r="O4" s="22" t="s">
        <v>144</v>
      </c>
      <c r="P4" s="22" t="s">
        <v>145</v>
      </c>
      <c r="Q4" s="22" t="s">
        <v>146</v>
      </c>
      <c r="R4" s="22" t="s">
        <v>147</v>
      </c>
      <c r="S4" s="22" t="s">
        <v>148</v>
      </c>
      <c r="T4" s="22" t="s">
        <v>149</v>
      </c>
      <c r="U4" s="22" t="s">
        <v>93</v>
      </c>
      <c r="V4" s="22" t="s">
        <v>150</v>
      </c>
    </row>
    <row r="5" customFormat="false" ht="15" hidden="false" customHeight="true" outlineLevel="0" collapsed="false">
      <c r="A5" s="19" t="s">
        <v>151</v>
      </c>
      <c r="B5" s="31" t="n">
        <v>46268</v>
      </c>
      <c r="C5" s="19" t="s">
        <v>94</v>
      </c>
      <c r="D5" s="19" t="s">
        <v>116</v>
      </c>
      <c r="E5" s="32" t="n">
        <v>40</v>
      </c>
      <c r="F5" s="26"/>
      <c r="G5" s="27" t="n">
        <v>0</v>
      </c>
      <c r="H5" s="17" t="str">
        <f aca="false">IF(A5="","",A5&amp;"|"&amp;COUNTIF(A$5:A5,A5))</f>
        <v>PRC/26-27/0141|1</v>
      </c>
      <c r="I5" s="33" t="str">
        <f aca="false">IF(A5="","",IFERROR(INDEX(Items!$B$5:$B$304,MATCH(D5,Items!$A$5:$A$304,0))&amp;"",""))</f>
        <v>73079990</v>
      </c>
      <c r="J5" s="34" t="str">
        <f aca="false">IF(A5="","",IFERROR(INDEX(Items!$C$5:$C$304,MATCH(D5,Items!$A$5:$A$304,0))&amp;"",""))</f>
        <v>Nos</v>
      </c>
      <c r="K5" s="35" t="n">
        <f aca="false">IF(A5="",0,IF(ISNUMBER(F5),F5,IFERROR(INDEX(Items!$D$5:$D$304,MATCH(D5,Items!$A$5:$A$304,0)),0)))</f>
        <v>1850</v>
      </c>
      <c r="L5" s="35" t="n">
        <f aca="false">ROUND(N(E5)*K5*(1-N(G5)),2)</f>
        <v>74000</v>
      </c>
      <c r="M5" s="36" t="n">
        <f aca="false">IF(A5="",0,IFERROR(INDEX(Items!$E$5:$E$304,MATCH(D5,Items!$A$5:$A$304,0)),0))</f>
        <v>0.18</v>
      </c>
      <c r="N5" s="37" t="str">
        <f aca="false">IF(A5="","",IFERROR(INDEX(Customers!$E$5:$E$204,MATCH(C5,Customers!$A$5:$A$204,0)),"?"))</f>
        <v>22</v>
      </c>
      <c r="O5" s="38" t="str">
        <f aca="false">IF(A5="","",IF(N5=Settings!$B$17,"No","Yes"))</f>
        <v>No</v>
      </c>
      <c r="P5" s="35" t="n">
        <f aca="false">IF(O5="Yes",ROUND(L5*M5,2),0)</f>
        <v>0</v>
      </c>
      <c r="Q5" s="35" t="n">
        <f aca="false">IF(O5="No",ROUND(L5*M5/2,2),0)</f>
        <v>6660</v>
      </c>
      <c r="R5" s="35" t="n">
        <f aca="false">Q5</f>
        <v>6660</v>
      </c>
      <c r="S5" s="35" t="n">
        <f aca="false">L5+P5+Q5+R5</f>
        <v>87320</v>
      </c>
      <c r="T5" s="34" t="str">
        <f aca="false">IF(A5="","",IFERROR(INDEX(Customers!$B$5:$B$204,MATCH(C5,Customers!$A$5:$A$204,0))&amp;"",""))</f>
        <v>22AAFCB4567K1Z2</v>
      </c>
      <c r="U5" s="38" t="str">
        <f aca="false">IF(A5="","",IF(T5&lt;&gt;"","B2B",IF(AND(O5="Yes",SUMIF($A$5:$A$1004,A5,$L$5:$L$1004)+SUMIF($A$5:$A$1004,A5,$P$5:$P$1004)&gt;100000),"B2CL","B2CS")))</f>
        <v>B2B</v>
      </c>
      <c r="V5" s="17" t="str">
        <f aca="false">IF(A5="","",TEXT(B5,"mmm-yyyy"))</f>
        <v>Sep-2026</v>
      </c>
    </row>
    <row r="6" customFormat="false" ht="15" hidden="false" customHeight="true" outlineLevel="0" collapsed="false">
      <c r="A6" s="19" t="s">
        <v>151</v>
      </c>
      <c r="B6" s="31" t="n">
        <v>46268</v>
      </c>
      <c r="C6" s="19" t="s">
        <v>94</v>
      </c>
      <c r="D6" s="19" t="s">
        <v>124</v>
      </c>
      <c r="E6" s="32" t="n">
        <v>10</v>
      </c>
      <c r="F6" s="26"/>
      <c r="G6" s="27" t="n">
        <v>0</v>
      </c>
      <c r="H6" s="17" t="str">
        <f aca="false">IF(A6="","",A6&amp;"|"&amp;COUNTIF(A$5:A6,A6))</f>
        <v>PRC/26-27/0141|2</v>
      </c>
      <c r="I6" s="33" t="str">
        <f aca="false">IF(A6="","",IFERROR(INDEX(Items!$B$5:$B$304,MATCH(D6,Items!$A$5:$A$304,0))&amp;"",""))</f>
        <v>73181500</v>
      </c>
      <c r="J6" s="34" t="str">
        <f aca="false">IF(A6="","",IFERROR(INDEX(Items!$C$5:$C$304,MATCH(D6,Items!$A$5:$A$304,0))&amp;"",""))</f>
        <v>Box</v>
      </c>
      <c r="K6" s="35" t="n">
        <f aca="false">IF(A6="",0,IF(ISNUMBER(F6),F6,IFERROR(INDEX(Items!$D$5:$D$304,MATCH(D6,Items!$A$5:$A$304,0)),0)))</f>
        <v>950</v>
      </c>
      <c r="L6" s="35" t="n">
        <f aca="false">ROUND(N(E6)*K6*(1-N(G6)),2)</f>
        <v>9500</v>
      </c>
      <c r="M6" s="36" t="n">
        <f aca="false">IF(A6="",0,IFERROR(INDEX(Items!$E$5:$E$304,MATCH(D6,Items!$A$5:$A$304,0)),0))</f>
        <v>0.18</v>
      </c>
      <c r="N6" s="37" t="str">
        <f aca="false">IF(A6="","",IFERROR(INDEX(Customers!$E$5:$E$204,MATCH(C6,Customers!$A$5:$A$204,0)),"?"))</f>
        <v>22</v>
      </c>
      <c r="O6" s="38" t="str">
        <f aca="false">IF(A6="","",IF(N6=Settings!$B$17,"No","Yes"))</f>
        <v>No</v>
      </c>
      <c r="P6" s="35" t="n">
        <f aca="false">IF(O6="Yes",ROUND(L6*M6,2),0)</f>
        <v>0</v>
      </c>
      <c r="Q6" s="35" t="n">
        <f aca="false">IF(O6="No",ROUND(L6*M6/2,2),0)</f>
        <v>855</v>
      </c>
      <c r="R6" s="35" t="n">
        <f aca="false">Q6</f>
        <v>855</v>
      </c>
      <c r="S6" s="35" t="n">
        <f aca="false">L6+P6+Q6+R6</f>
        <v>11210</v>
      </c>
      <c r="T6" s="34" t="str">
        <f aca="false">IF(A6="","",IFERROR(INDEX(Customers!$B$5:$B$204,MATCH(C6,Customers!$A$5:$A$204,0))&amp;"",""))</f>
        <v>22AAFCB4567K1Z2</v>
      </c>
      <c r="U6" s="38" t="str">
        <f aca="false">IF(A6="","",IF(T6&lt;&gt;"","B2B",IF(AND(O6="Yes",SUMIF($A$5:$A$1004,A6,$L$5:$L$1004)+SUMIF($A$5:$A$1004,A6,$P$5:$P$1004)&gt;100000),"B2CL","B2CS")))</f>
        <v>B2B</v>
      </c>
      <c r="V6" s="17" t="str">
        <f aca="false">IF(A6="","",TEXT(B6,"mmm-yyyy"))</f>
        <v>Sep-2026</v>
      </c>
    </row>
    <row r="7" customFormat="false" ht="15" hidden="false" customHeight="true" outlineLevel="0" collapsed="false">
      <c r="A7" s="19" t="s">
        <v>151</v>
      </c>
      <c r="B7" s="31" t="n">
        <v>46268</v>
      </c>
      <c r="C7" s="19" t="s">
        <v>94</v>
      </c>
      <c r="D7" s="19" t="s">
        <v>129</v>
      </c>
      <c r="E7" s="32" t="n">
        <v>1</v>
      </c>
      <c r="F7" s="26"/>
      <c r="G7" s="27" t="n">
        <v>0</v>
      </c>
      <c r="H7" s="17" t="str">
        <f aca="false">IF(A7="","",A7&amp;"|"&amp;COUNTIF(A$5:A7,A7))</f>
        <v>PRC/26-27/0141|3</v>
      </c>
      <c r="I7" s="33" t="str">
        <f aca="false">IF(A7="","",IFERROR(INDEX(Items!$B$5:$B$304,MATCH(D7,Items!$A$5:$A$304,0))&amp;"",""))</f>
        <v>996511</v>
      </c>
      <c r="J7" s="34" t="str">
        <f aca="false">IF(A7="","",IFERROR(INDEX(Items!$C$5:$C$304,MATCH(D7,Items!$A$5:$A$304,0))&amp;"",""))</f>
        <v>Trip</v>
      </c>
      <c r="K7" s="35" t="n">
        <f aca="false">IF(A7="",0,IF(ISNUMBER(F7),F7,IFERROR(INDEX(Items!$D$5:$D$304,MATCH(D7,Items!$A$5:$A$304,0)),0)))</f>
        <v>3500</v>
      </c>
      <c r="L7" s="35" t="n">
        <f aca="false">ROUND(N(E7)*K7*(1-N(G7)),2)</f>
        <v>3500</v>
      </c>
      <c r="M7" s="36" t="n">
        <f aca="false">IF(A7="",0,IFERROR(INDEX(Items!$E$5:$E$304,MATCH(D7,Items!$A$5:$A$304,0)),0))</f>
        <v>0.18</v>
      </c>
      <c r="N7" s="37" t="str">
        <f aca="false">IF(A7="","",IFERROR(INDEX(Customers!$E$5:$E$204,MATCH(C7,Customers!$A$5:$A$204,0)),"?"))</f>
        <v>22</v>
      </c>
      <c r="O7" s="38" t="str">
        <f aca="false">IF(A7="","",IF(N7=Settings!$B$17,"No","Yes"))</f>
        <v>No</v>
      </c>
      <c r="P7" s="35" t="n">
        <f aca="false">IF(O7="Yes",ROUND(L7*M7,2),0)</f>
        <v>0</v>
      </c>
      <c r="Q7" s="35" t="n">
        <f aca="false">IF(O7="No",ROUND(L7*M7/2,2),0)</f>
        <v>315</v>
      </c>
      <c r="R7" s="35" t="n">
        <f aca="false">Q7</f>
        <v>315</v>
      </c>
      <c r="S7" s="35" t="n">
        <f aca="false">L7+P7+Q7+R7</f>
        <v>4130</v>
      </c>
      <c r="T7" s="34" t="str">
        <f aca="false">IF(A7="","",IFERROR(INDEX(Customers!$B$5:$B$204,MATCH(C7,Customers!$A$5:$A$204,0))&amp;"",""))</f>
        <v>22AAFCB4567K1Z2</v>
      </c>
      <c r="U7" s="38" t="str">
        <f aca="false">IF(A7="","",IF(T7&lt;&gt;"","B2B",IF(AND(O7="Yes",SUMIF($A$5:$A$1004,A7,$L$5:$L$1004)+SUMIF($A$5:$A$1004,A7,$P$5:$P$1004)&gt;100000),"B2CL","B2CS")))</f>
        <v>B2B</v>
      </c>
      <c r="V7" s="17" t="str">
        <f aca="false">IF(A7="","",TEXT(B7,"mmm-yyyy"))</f>
        <v>Sep-2026</v>
      </c>
    </row>
    <row r="8" customFormat="false" ht="15" hidden="false" customHeight="true" outlineLevel="0" collapsed="false">
      <c r="A8" s="19" t="s">
        <v>152</v>
      </c>
      <c r="B8" s="31" t="n">
        <v>46273</v>
      </c>
      <c r="C8" s="19" t="s">
        <v>97</v>
      </c>
      <c r="D8" s="19" t="s">
        <v>119</v>
      </c>
      <c r="E8" s="32" t="n">
        <v>25</v>
      </c>
      <c r="F8" s="26" t="n">
        <v>4100</v>
      </c>
      <c r="G8" s="27" t="n">
        <v>0.05</v>
      </c>
      <c r="H8" s="17" t="str">
        <f aca="false">IF(A8="","",A8&amp;"|"&amp;COUNTIF(A$5:A8,A8))</f>
        <v>PRC/26-27/0142|1</v>
      </c>
      <c r="I8" s="33" t="str">
        <f aca="false">IF(A8="","",IFERROR(INDEX(Items!$B$5:$B$304,MATCH(D8,Items!$A$5:$A$304,0))&amp;"",""))</f>
        <v>84834000</v>
      </c>
      <c r="J8" s="34" t="str">
        <f aca="false">IF(A8="","",IFERROR(INDEX(Items!$C$5:$C$304,MATCH(D8,Items!$A$5:$A$304,0))&amp;"",""))</f>
        <v>Nos</v>
      </c>
      <c r="K8" s="35" t="n">
        <f aca="false">IF(A8="",0,IF(ISNUMBER(F8),F8,IFERROR(INDEX(Items!$D$5:$D$304,MATCH(D8,Items!$A$5:$A$304,0)),0)))</f>
        <v>4100</v>
      </c>
      <c r="L8" s="35" t="n">
        <f aca="false">ROUND(N(E8)*K8*(1-N(G8)),2)</f>
        <v>97375</v>
      </c>
      <c r="M8" s="36" t="n">
        <f aca="false">IF(A8="",0,IFERROR(INDEX(Items!$E$5:$E$304,MATCH(D8,Items!$A$5:$A$304,0)),0))</f>
        <v>0.18</v>
      </c>
      <c r="N8" s="37" t="str">
        <f aca="false">IF(A8="","",IFERROR(INDEX(Customers!$E$5:$E$204,MATCH(C8,Customers!$A$5:$A$204,0)),"?"))</f>
        <v>27</v>
      </c>
      <c r="O8" s="38" t="str">
        <f aca="false">IF(A8="","",IF(N8=Settings!$B$17,"No","Yes"))</f>
        <v>Yes</v>
      </c>
      <c r="P8" s="35" t="n">
        <f aca="false">IF(O8="Yes",ROUND(L8*M8,2),0)</f>
        <v>17527.5</v>
      </c>
      <c r="Q8" s="35" t="n">
        <f aca="false">IF(O8="No",ROUND(L8*M8/2,2),0)</f>
        <v>0</v>
      </c>
      <c r="R8" s="35" t="n">
        <f aca="false">Q8</f>
        <v>0</v>
      </c>
      <c r="S8" s="35" t="n">
        <f aca="false">L8+P8+Q8+R8</f>
        <v>114902.5</v>
      </c>
      <c r="T8" s="34" t="str">
        <f aca="false">IF(A8="","",IFERROR(INDEX(Customers!$B$5:$B$204,MATCH(C8,Customers!$A$5:$A$204,0))&amp;"",""))</f>
        <v>27AAGFN7788P1Z9</v>
      </c>
      <c r="U8" s="38" t="str">
        <f aca="false">IF(A8="","",IF(T8&lt;&gt;"","B2B",IF(AND(O8="Yes",SUMIF($A$5:$A$1004,A8,$L$5:$L$1004)+SUMIF($A$5:$A$1004,A8,$P$5:$P$1004)&gt;100000),"B2CL","B2CS")))</f>
        <v>B2B</v>
      </c>
      <c r="V8" s="17" t="str">
        <f aca="false">IF(A8="","",TEXT(B8,"mmm-yyyy"))</f>
        <v>Sep-2026</v>
      </c>
    </row>
    <row r="9" customFormat="false" ht="15" hidden="false" customHeight="true" outlineLevel="0" collapsed="false">
      <c r="A9" s="19" t="s">
        <v>152</v>
      </c>
      <c r="B9" s="31" t="n">
        <v>46273</v>
      </c>
      <c r="C9" s="19" t="s">
        <v>97</v>
      </c>
      <c r="D9" s="19" t="s">
        <v>121</v>
      </c>
      <c r="E9" s="32" t="n">
        <v>16</v>
      </c>
      <c r="F9" s="26"/>
      <c r="G9" s="27" t="n">
        <v>0</v>
      </c>
      <c r="H9" s="17" t="str">
        <f aca="false">IF(A9="","",A9&amp;"|"&amp;COUNTIF(A$5:A9,A9))</f>
        <v>PRC/26-27/0142|2</v>
      </c>
      <c r="I9" s="33" t="str">
        <f aca="false">IF(A9="","",IFERROR(INDEX(Items!$B$5:$B$304,MATCH(D9,Items!$A$5:$A$304,0))&amp;"",""))</f>
        <v>998873</v>
      </c>
      <c r="J9" s="34" t="str">
        <f aca="false">IF(A9="","",IFERROR(INDEX(Items!$C$5:$C$304,MATCH(D9,Items!$A$5:$A$304,0))&amp;"",""))</f>
        <v>Hrs</v>
      </c>
      <c r="K9" s="35" t="n">
        <f aca="false">IF(A9="",0,IF(ISNUMBER(F9),F9,IFERROR(INDEX(Items!$D$5:$D$304,MATCH(D9,Items!$A$5:$A$304,0)),0)))</f>
        <v>1200</v>
      </c>
      <c r="L9" s="35" t="n">
        <f aca="false">ROUND(N(E9)*K9*(1-N(G9)),2)</f>
        <v>19200</v>
      </c>
      <c r="M9" s="36" t="n">
        <f aca="false">IF(A9="",0,IFERROR(INDEX(Items!$E$5:$E$304,MATCH(D9,Items!$A$5:$A$304,0)),0))</f>
        <v>0.18</v>
      </c>
      <c r="N9" s="37" t="str">
        <f aca="false">IF(A9="","",IFERROR(INDEX(Customers!$E$5:$E$204,MATCH(C9,Customers!$A$5:$A$204,0)),"?"))</f>
        <v>27</v>
      </c>
      <c r="O9" s="38" t="str">
        <f aca="false">IF(A9="","",IF(N9=Settings!$B$17,"No","Yes"))</f>
        <v>Yes</v>
      </c>
      <c r="P9" s="35" t="n">
        <f aca="false">IF(O9="Yes",ROUND(L9*M9,2),0)</f>
        <v>3456</v>
      </c>
      <c r="Q9" s="35" t="n">
        <f aca="false">IF(O9="No",ROUND(L9*M9/2,2),0)</f>
        <v>0</v>
      </c>
      <c r="R9" s="35" t="n">
        <f aca="false">Q9</f>
        <v>0</v>
      </c>
      <c r="S9" s="35" t="n">
        <f aca="false">L9+P9+Q9+R9</f>
        <v>22656</v>
      </c>
      <c r="T9" s="34" t="str">
        <f aca="false">IF(A9="","",IFERROR(INDEX(Customers!$B$5:$B$204,MATCH(C9,Customers!$A$5:$A$204,0))&amp;"",""))</f>
        <v>27AAGFN7788P1Z9</v>
      </c>
      <c r="U9" s="38" t="str">
        <f aca="false">IF(A9="","",IF(T9&lt;&gt;"","B2B",IF(AND(O9="Yes",SUMIF($A$5:$A$1004,A9,$L$5:$L$1004)+SUMIF($A$5:$A$1004,A9,$P$5:$P$1004)&gt;100000),"B2CL","B2CS")))</f>
        <v>B2B</v>
      </c>
      <c r="V9" s="17" t="str">
        <f aca="false">IF(A9="","",TEXT(B9,"mmm-yyyy"))</f>
        <v>Sep-2026</v>
      </c>
    </row>
    <row r="10" customFormat="false" ht="15" hidden="false" customHeight="true" outlineLevel="0" collapsed="false">
      <c r="A10" s="19" t="s">
        <v>153</v>
      </c>
      <c r="B10" s="31" t="n">
        <v>46277</v>
      </c>
      <c r="C10" s="19" t="s">
        <v>103</v>
      </c>
      <c r="D10" s="19" t="s">
        <v>127</v>
      </c>
      <c r="E10" s="32" t="n">
        <v>30</v>
      </c>
      <c r="F10" s="26"/>
      <c r="G10" s="27" t="n">
        <v>0</v>
      </c>
      <c r="H10" s="17" t="str">
        <f aca="false">IF(A10="","",A10&amp;"|"&amp;COUNTIF(A$5:A10,A10))</f>
        <v>PRC/26-27/0143|1</v>
      </c>
      <c r="I10" s="33" t="str">
        <f aca="false">IF(A10="","",IFERROR(INDEX(Items!$B$5:$B$304,MATCH(D10,Items!$A$5:$A$304,0))&amp;"",""))</f>
        <v>84139190</v>
      </c>
      <c r="J10" s="34" t="str">
        <f aca="false">IF(A10="","",IFERROR(INDEX(Items!$C$5:$C$304,MATCH(D10,Items!$A$5:$A$304,0))&amp;"",""))</f>
        <v>Nos</v>
      </c>
      <c r="K10" s="35" t="n">
        <f aca="false">IF(A10="",0,IF(ISNUMBER(F10),F10,IFERROR(INDEX(Items!$D$5:$D$304,MATCH(D10,Items!$A$5:$A$304,0)),0)))</f>
        <v>2600</v>
      </c>
      <c r="L10" s="35" t="n">
        <f aca="false">ROUND(N(E10)*K10*(1-N(G10)),2)</f>
        <v>78000</v>
      </c>
      <c r="M10" s="36" t="n">
        <f aca="false">IF(A10="",0,IFERROR(INDEX(Items!$E$5:$E$304,MATCH(D10,Items!$A$5:$A$304,0)),0))</f>
        <v>0.05</v>
      </c>
      <c r="N10" s="37" t="str">
        <f aca="false">IF(A10="","",IFERROR(INDEX(Customers!$E$5:$E$204,MATCH(C10,Customers!$A$5:$A$204,0)),"?"))</f>
        <v>22</v>
      </c>
      <c r="O10" s="38" t="str">
        <f aca="false">IF(A10="","",IF(N10=Settings!$B$17,"No","Yes"))</f>
        <v>No</v>
      </c>
      <c r="P10" s="35" t="n">
        <f aca="false">IF(O10="Yes",ROUND(L10*M10,2),0)</f>
        <v>0</v>
      </c>
      <c r="Q10" s="35" t="n">
        <f aca="false">IF(O10="No",ROUND(L10*M10/2,2),0)</f>
        <v>1950</v>
      </c>
      <c r="R10" s="35" t="n">
        <f aca="false">Q10</f>
        <v>1950</v>
      </c>
      <c r="S10" s="35" t="n">
        <f aca="false">L10+P10+Q10+R10</f>
        <v>81900</v>
      </c>
      <c r="T10" s="34" t="str">
        <f aca="false">IF(A10="","",IFERROR(INDEX(Customers!$B$5:$B$204,MATCH(C10,Customers!$A$5:$A$204,0))&amp;"",""))</f>
        <v/>
      </c>
      <c r="U10" s="38" t="str">
        <f aca="false">IF(A10="","",IF(T10&lt;&gt;"","B2B",IF(AND(O10="Yes",SUMIF($A$5:$A$1004,A10,$L$5:$L$1004)+SUMIF($A$5:$A$1004,A10,$P$5:$P$1004)&gt;100000),"B2CL","B2CS")))</f>
        <v>B2CS</v>
      </c>
      <c r="V10" s="17" t="str">
        <f aca="false">IF(A10="","",TEXT(B10,"mmm-yyyy"))</f>
        <v>Sep-2026</v>
      </c>
    </row>
    <row r="11" customFormat="false" ht="15" hidden="false" customHeight="true" outlineLevel="0" collapsed="false">
      <c r="A11" s="19" t="s">
        <v>154</v>
      </c>
      <c r="B11" s="31" t="n">
        <v>46283</v>
      </c>
      <c r="C11" s="19" t="s">
        <v>100</v>
      </c>
      <c r="D11" s="19" t="s">
        <v>116</v>
      </c>
      <c r="E11" s="32" t="n">
        <v>120</v>
      </c>
      <c r="F11" s="26" t="n">
        <v>1800</v>
      </c>
      <c r="G11" s="27" t="n">
        <v>0</v>
      </c>
      <c r="H11" s="17" t="str">
        <f aca="false">IF(A11="","",A11&amp;"|"&amp;COUNTIF(A$5:A11,A11))</f>
        <v>PRC/26-27/0144|1</v>
      </c>
      <c r="I11" s="33" t="str">
        <f aca="false">IF(A11="","",IFERROR(INDEX(Items!$B$5:$B$304,MATCH(D11,Items!$A$5:$A$304,0))&amp;"",""))</f>
        <v>73079990</v>
      </c>
      <c r="J11" s="34" t="str">
        <f aca="false">IF(A11="","",IFERROR(INDEX(Items!$C$5:$C$304,MATCH(D11,Items!$A$5:$A$304,0))&amp;"",""))</f>
        <v>Nos</v>
      </c>
      <c r="K11" s="35" t="n">
        <f aca="false">IF(A11="",0,IF(ISNUMBER(F11),F11,IFERROR(INDEX(Items!$D$5:$D$304,MATCH(D11,Items!$A$5:$A$304,0)),0)))</f>
        <v>1800</v>
      </c>
      <c r="L11" s="35" t="n">
        <f aca="false">ROUND(N(E11)*K11*(1-N(G11)),2)</f>
        <v>216000</v>
      </c>
      <c r="M11" s="36" t="n">
        <f aca="false">IF(A11="",0,IFERROR(INDEX(Items!$E$5:$E$304,MATCH(D11,Items!$A$5:$A$304,0)),0))</f>
        <v>0.18</v>
      </c>
      <c r="N11" s="37" t="str">
        <f aca="false">IF(A11="","",IFERROR(INDEX(Customers!$E$5:$E$204,MATCH(C11,Customers!$A$5:$A$204,0)),"?"))</f>
        <v>21</v>
      </c>
      <c r="O11" s="38" t="str">
        <f aca="false">IF(A11="","",IF(N11=Settings!$B$17,"No","Yes"))</f>
        <v>Yes</v>
      </c>
      <c r="P11" s="35" t="n">
        <f aca="false">IF(O11="Yes",ROUND(L11*M11,2),0)</f>
        <v>38880</v>
      </c>
      <c r="Q11" s="35" t="n">
        <f aca="false">IF(O11="No",ROUND(L11*M11/2,2),0)</f>
        <v>0</v>
      </c>
      <c r="R11" s="35" t="n">
        <f aca="false">Q11</f>
        <v>0</v>
      </c>
      <c r="S11" s="35" t="n">
        <f aca="false">L11+P11+Q11+R11</f>
        <v>254880</v>
      </c>
      <c r="T11" s="34" t="str">
        <f aca="false">IF(A11="","",IFERROR(INDEX(Customers!$B$5:$B$204,MATCH(C11,Customers!$A$5:$A$204,0))&amp;"",""))</f>
        <v>21AABCO3344Q1Z1</v>
      </c>
      <c r="U11" s="38" t="str">
        <f aca="false">IF(A11="","",IF(T11&lt;&gt;"","B2B",IF(AND(O11="Yes",SUMIF($A$5:$A$1004,A11,$L$5:$L$1004)+SUMIF($A$5:$A$1004,A11,$P$5:$P$1004)&gt;100000),"B2CL","B2CS")))</f>
        <v>B2B</v>
      </c>
      <c r="V11" s="17" t="str">
        <f aca="false">IF(A11="","",TEXT(B11,"mmm-yyyy"))</f>
        <v>Sep-2026</v>
      </c>
    </row>
    <row r="12" customFormat="false" ht="15" hidden="false" customHeight="true" outlineLevel="0" collapsed="false">
      <c r="A12" s="19" t="s">
        <v>154</v>
      </c>
      <c r="B12" s="31" t="n">
        <v>46283</v>
      </c>
      <c r="C12" s="19" t="s">
        <v>100</v>
      </c>
      <c r="D12" s="19" t="s">
        <v>119</v>
      </c>
      <c r="E12" s="32" t="n">
        <v>20</v>
      </c>
      <c r="F12" s="26"/>
      <c r="G12" s="27" t="n">
        <v>0</v>
      </c>
      <c r="H12" s="17" t="str">
        <f aca="false">IF(A12="","",A12&amp;"|"&amp;COUNTIF(A$5:A12,A12))</f>
        <v>PRC/26-27/0144|2</v>
      </c>
      <c r="I12" s="33" t="str">
        <f aca="false">IF(A12="","",IFERROR(INDEX(Items!$B$5:$B$304,MATCH(D12,Items!$A$5:$A$304,0))&amp;"",""))</f>
        <v>84834000</v>
      </c>
      <c r="J12" s="34" t="str">
        <f aca="false">IF(A12="","",IFERROR(INDEX(Items!$C$5:$C$304,MATCH(D12,Items!$A$5:$A$304,0))&amp;"",""))</f>
        <v>Nos</v>
      </c>
      <c r="K12" s="35" t="n">
        <f aca="false">IF(A12="",0,IF(ISNUMBER(F12),F12,IFERROR(INDEX(Items!$D$5:$D$304,MATCH(D12,Items!$A$5:$A$304,0)),0)))</f>
        <v>4200</v>
      </c>
      <c r="L12" s="35" t="n">
        <f aca="false">ROUND(N(E12)*K12*(1-N(G12)),2)</f>
        <v>84000</v>
      </c>
      <c r="M12" s="36" t="n">
        <f aca="false">IF(A12="",0,IFERROR(INDEX(Items!$E$5:$E$304,MATCH(D12,Items!$A$5:$A$304,0)),0))</f>
        <v>0.18</v>
      </c>
      <c r="N12" s="37" t="str">
        <f aca="false">IF(A12="","",IFERROR(INDEX(Customers!$E$5:$E$204,MATCH(C12,Customers!$A$5:$A$204,0)),"?"))</f>
        <v>21</v>
      </c>
      <c r="O12" s="38" t="str">
        <f aca="false">IF(A12="","",IF(N12=Settings!$B$17,"No","Yes"))</f>
        <v>Yes</v>
      </c>
      <c r="P12" s="35" t="n">
        <f aca="false">IF(O12="Yes",ROUND(L12*M12,2),0)</f>
        <v>15120</v>
      </c>
      <c r="Q12" s="35" t="n">
        <f aca="false">IF(O12="No",ROUND(L12*M12/2,2),0)</f>
        <v>0</v>
      </c>
      <c r="R12" s="35" t="n">
        <f aca="false">Q12</f>
        <v>0</v>
      </c>
      <c r="S12" s="35" t="n">
        <f aca="false">L12+P12+Q12+R12</f>
        <v>99120</v>
      </c>
      <c r="T12" s="34" t="str">
        <f aca="false">IF(A12="","",IFERROR(INDEX(Customers!$B$5:$B$204,MATCH(C12,Customers!$A$5:$A$204,0))&amp;"",""))</f>
        <v>21AABCO3344Q1Z1</v>
      </c>
      <c r="U12" s="38" t="str">
        <f aca="false">IF(A12="","",IF(T12&lt;&gt;"","B2B",IF(AND(O12="Yes",SUMIF($A$5:$A$1004,A12,$L$5:$L$1004)+SUMIF($A$5:$A$1004,A12,$P$5:$P$1004)&gt;100000),"B2CL","B2CS")))</f>
        <v>B2B</v>
      </c>
      <c r="V12" s="17" t="str">
        <f aca="false">IF(A12="","",TEXT(B12,"mmm-yyyy"))</f>
        <v>Sep-2026</v>
      </c>
    </row>
    <row r="13" customFormat="false" ht="15" hidden="false" customHeight="true" outlineLevel="0" collapsed="false">
      <c r="A13" s="19" t="s">
        <v>155</v>
      </c>
      <c r="B13" s="31" t="n">
        <v>46289</v>
      </c>
      <c r="C13" s="19" t="s">
        <v>106</v>
      </c>
      <c r="D13" s="19" t="s">
        <v>127</v>
      </c>
      <c r="E13" s="32" t="n">
        <v>2</v>
      </c>
      <c r="F13" s="26"/>
      <c r="G13" s="27" t="n">
        <v>0</v>
      </c>
      <c r="H13" s="17" t="str">
        <f aca="false">IF(A13="","",A13&amp;"|"&amp;COUNTIF(A$5:A13,A13))</f>
        <v>PRC/26-27/0145|1</v>
      </c>
      <c r="I13" s="33" t="str">
        <f aca="false">IF(A13="","",IFERROR(INDEX(Items!$B$5:$B$304,MATCH(D13,Items!$A$5:$A$304,0))&amp;"",""))</f>
        <v>84139190</v>
      </c>
      <c r="J13" s="34" t="str">
        <f aca="false">IF(A13="","",IFERROR(INDEX(Items!$C$5:$C$304,MATCH(D13,Items!$A$5:$A$304,0))&amp;"",""))</f>
        <v>Nos</v>
      </c>
      <c r="K13" s="35" t="n">
        <f aca="false">IF(A13="",0,IF(ISNUMBER(F13),F13,IFERROR(INDEX(Items!$D$5:$D$304,MATCH(D13,Items!$A$5:$A$304,0)),0)))</f>
        <v>2600</v>
      </c>
      <c r="L13" s="35" t="n">
        <f aca="false">ROUND(N(E13)*K13*(1-N(G13)),2)</f>
        <v>5200</v>
      </c>
      <c r="M13" s="36" t="n">
        <f aca="false">IF(A13="",0,IFERROR(INDEX(Items!$E$5:$E$304,MATCH(D13,Items!$A$5:$A$304,0)),0))</f>
        <v>0.05</v>
      </c>
      <c r="N13" s="37" t="str">
        <f aca="false">IF(A13="","",IFERROR(INDEX(Customers!$E$5:$E$204,MATCH(C13,Customers!$A$5:$A$204,0)),"?"))</f>
        <v>23</v>
      </c>
      <c r="O13" s="38" t="str">
        <f aca="false">IF(A13="","",IF(N13=Settings!$B$17,"No","Yes"))</f>
        <v>Yes</v>
      </c>
      <c r="P13" s="35" t="n">
        <f aca="false">IF(O13="Yes",ROUND(L13*M13,2),0)</f>
        <v>260</v>
      </c>
      <c r="Q13" s="35" t="n">
        <f aca="false">IF(O13="No",ROUND(L13*M13/2,2),0)</f>
        <v>0</v>
      </c>
      <c r="R13" s="35" t="n">
        <f aca="false">Q13</f>
        <v>0</v>
      </c>
      <c r="S13" s="35" t="n">
        <f aca="false">L13+P13+Q13+R13</f>
        <v>5460</v>
      </c>
      <c r="T13" s="34" t="str">
        <f aca="false">IF(A13="","",IFERROR(INDEX(Customers!$B$5:$B$204,MATCH(C13,Customers!$A$5:$A$204,0))&amp;"",""))</f>
        <v/>
      </c>
      <c r="U13" s="38" t="str">
        <f aca="false">IF(A13="","",IF(T13&lt;&gt;"","B2B",IF(AND(O13="Yes",SUMIF($A$5:$A$1004,A13,$L$5:$L$1004)+SUMIF($A$5:$A$1004,A13,$P$5:$P$1004)&gt;100000),"B2CL","B2CS")))</f>
        <v>B2CS</v>
      </c>
      <c r="V13" s="17" t="str">
        <f aca="false">IF(A13="","",TEXT(B13,"mmm-yyyy"))</f>
        <v>Sep-2026</v>
      </c>
    </row>
    <row r="14" customFormat="false" ht="15" hidden="false" customHeight="true" outlineLevel="0" collapsed="false">
      <c r="A14" s="19" t="s">
        <v>156</v>
      </c>
      <c r="B14" s="31" t="n">
        <v>46294</v>
      </c>
      <c r="C14" s="19" t="s">
        <v>94</v>
      </c>
      <c r="D14" s="19" t="s">
        <v>121</v>
      </c>
      <c r="E14" s="32" t="n">
        <v>22</v>
      </c>
      <c r="F14" s="26"/>
      <c r="G14" s="27" t="n">
        <v>0</v>
      </c>
      <c r="H14" s="17" t="str">
        <f aca="false">IF(A14="","",A14&amp;"|"&amp;COUNTIF(A$5:A14,A14))</f>
        <v>PRC/26-27/0146|1</v>
      </c>
      <c r="I14" s="33" t="str">
        <f aca="false">IF(A14="","",IFERROR(INDEX(Items!$B$5:$B$304,MATCH(D14,Items!$A$5:$A$304,0))&amp;"",""))</f>
        <v>998873</v>
      </c>
      <c r="J14" s="34" t="str">
        <f aca="false">IF(A14="","",IFERROR(INDEX(Items!$C$5:$C$304,MATCH(D14,Items!$A$5:$A$304,0))&amp;"",""))</f>
        <v>Hrs</v>
      </c>
      <c r="K14" s="35" t="n">
        <f aca="false">IF(A14="",0,IF(ISNUMBER(F14),F14,IFERROR(INDEX(Items!$D$5:$D$304,MATCH(D14,Items!$A$5:$A$304,0)),0)))</f>
        <v>1200</v>
      </c>
      <c r="L14" s="35" t="n">
        <f aca="false">ROUND(N(E14)*K14*(1-N(G14)),2)</f>
        <v>26400</v>
      </c>
      <c r="M14" s="36" t="n">
        <f aca="false">IF(A14="",0,IFERROR(INDEX(Items!$E$5:$E$304,MATCH(D14,Items!$A$5:$A$304,0)),0))</f>
        <v>0.18</v>
      </c>
      <c r="N14" s="37" t="str">
        <f aca="false">IF(A14="","",IFERROR(INDEX(Customers!$E$5:$E$204,MATCH(C14,Customers!$A$5:$A$204,0)),"?"))</f>
        <v>22</v>
      </c>
      <c r="O14" s="38" t="str">
        <f aca="false">IF(A14="","",IF(N14=Settings!$B$17,"No","Yes"))</f>
        <v>No</v>
      </c>
      <c r="P14" s="35" t="n">
        <f aca="false">IF(O14="Yes",ROUND(L14*M14,2),0)</f>
        <v>0</v>
      </c>
      <c r="Q14" s="35" t="n">
        <f aca="false">IF(O14="No",ROUND(L14*M14/2,2),0)</f>
        <v>2376</v>
      </c>
      <c r="R14" s="35" t="n">
        <f aca="false">Q14</f>
        <v>2376</v>
      </c>
      <c r="S14" s="35" t="n">
        <f aca="false">L14+P14+Q14+R14</f>
        <v>31152</v>
      </c>
      <c r="T14" s="34" t="str">
        <f aca="false">IF(A14="","",IFERROR(INDEX(Customers!$B$5:$B$204,MATCH(C14,Customers!$A$5:$A$204,0))&amp;"",""))</f>
        <v>22AAFCB4567K1Z2</v>
      </c>
      <c r="U14" s="38" t="str">
        <f aca="false">IF(A14="","",IF(T14&lt;&gt;"","B2B",IF(AND(O14="Yes",SUMIF($A$5:$A$1004,A14,$L$5:$L$1004)+SUMIF($A$5:$A$1004,A14,$P$5:$P$1004)&gt;100000),"B2CL","B2CS")))</f>
        <v>B2B</v>
      </c>
      <c r="V14" s="17" t="str">
        <f aca="false">IF(A14="","",TEXT(B14,"mmm-yyyy"))</f>
        <v>Sep-2026</v>
      </c>
    </row>
    <row r="15" customFormat="false" ht="15" hidden="false" customHeight="true" outlineLevel="0" collapsed="false">
      <c r="A15" s="24"/>
      <c r="B15" s="39"/>
      <c r="C15" s="24"/>
      <c r="D15" s="24"/>
      <c r="E15" s="40"/>
      <c r="F15" s="29"/>
      <c r="G15" s="30"/>
      <c r="H15" s="17" t="str">
        <f aca="false">IF(A15="","",A15&amp;"|"&amp;COUNTIF(A$5:A15,A15))</f>
        <v/>
      </c>
      <c r="I15" s="33" t="str">
        <f aca="false">IF(A15="","",IFERROR(INDEX(Items!$B$5:$B$304,MATCH(D15,Items!$A$5:$A$304,0))&amp;"",""))</f>
        <v/>
      </c>
      <c r="J15" s="34" t="str">
        <f aca="false">IF(A15="","",IFERROR(INDEX(Items!$C$5:$C$304,MATCH(D15,Items!$A$5:$A$304,0))&amp;"",""))</f>
        <v/>
      </c>
      <c r="K15" s="35" t="n">
        <f aca="false">IF(A15="",0,IF(ISNUMBER(F15),F15,IFERROR(INDEX(Items!$D$5:$D$304,MATCH(D15,Items!$A$5:$A$304,0)),0)))</f>
        <v>0</v>
      </c>
      <c r="L15" s="35" t="n">
        <f aca="false">ROUND(N(E15)*K15*(1-N(G15)),2)</f>
        <v>0</v>
      </c>
      <c r="M15" s="36" t="n">
        <f aca="false">IF(A15="",0,IFERROR(INDEX(Items!$E$5:$E$304,MATCH(D15,Items!$A$5:$A$304,0)),0))</f>
        <v>0</v>
      </c>
      <c r="N15" s="37" t="str">
        <f aca="false">IF(A15="","",IFERROR(INDEX(Customers!$E$5:$E$204,MATCH(C15,Customers!$A$5:$A$204,0)),"?"))</f>
        <v/>
      </c>
      <c r="O15" s="38" t="str">
        <f aca="false">IF(A15="","",IF(N15=Settings!$B$17,"No","Yes"))</f>
        <v/>
      </c>
      <c r="P15" s="35" t="n">
        <f aca="false">IF(O15="Yes",ROUND(L15*M15,2),0)</f>
        <v>0</v>
      </c>
      <c r="Q15" s="35" t="n">
        <f aca="false">IF(O15="No",ROUND(L15*M15/2,2),0)</f>
        <v>0</v>
      </c>
      <c r="R15" s="35" t="n">
        <f aca="false">Q15</f>
        <v>0</v>
      </c>
      <c r="S15" s="35" t="n">
        <f aca="false">L15+P15+Q15+R15</f>
        <v>0</v>
      </c>
      <c r="T15" s="34" t="str">
        <f aca="false">IF(A15="","",IFERROR(INDEX(Customers!$B$5:$B$204,MATCH(C15,Customers!$A$5:$A$204,0))&amp;"",""))</f>
        <v/>
      </c>
      <c r="U15" s="38" t="str">
        <f aca="false">IF(A15="","",IF(T15&lt;&gt;"","B2B",IF(AND(O15="Yes",SUMIF($A$5:$A$1004,A15,$L$5:$L$1004)+SUMIF($A$5:$A$1004,A15,$P$5:$P$1004)&gt;100000),"B2CL","B2CS")))</f>
        <v/>
      </c>
      <c r="V15" s="17" t="str">
        <f aca="false">IF(A15="","",TEXT(B15,"mmm-yyyy"))</f>
        <v/>
      </c>
    </row>
    <row r="16" customFormat="false" ht="15" hidden="false" customHeight="true" outlineLevel="0" collapsed="false">
      <c r="A16" s="24"/>
      <c r="B16" s="39"/>
      <c r="C16" s="24"/>
      <c r="D16" s="24"/>
      <c r="E16" s="40"/>
      <c r="F16" s="29"/>
      <c r="G16" s="30"/>
      <c r="H16" s="17" t="str">
        <f aca="false">IF(A16="","",A16&amp;"|"&amp;COUNTIF(A$5:A16,A16))</f>
        <v/>
      </c>
      <c r="I16" s="33" t="str">
        <f aca="false">IF(A16="","",IFERROR(INDEX(Items!$B$5:$B$304,MATCH(D16,Items!$A$5:$A$304,0))&amp;"",""))</f>
        <v/>
      </c>
      <c r="J16" s="34" t="str">
        <f aca="false">IF(A16="","",IFERROR(INDEX(Items!$C$5:$C$304,MATCH(D16,Items!$A$5:$A$304,0))&amp;"",""))</f>
        <v/>
      </c>
      <c r="K16" s="35" t="n">
        <f aca="false">IF(A16="",0,IF(ISNUMBER(F16),F16,IFERROR(INDEX(Items!$D$5:$D$304,MATCH(D16,Items!$A$5:$A$304,0)),0)))</f>
        <v>0</v>
      </c>
      <c r="L16" s="35" t="n">
        <f aca="false">ROUND(N(E16)*K16*(1-N(G16)),2)</f>
        <v>0</v>
      </c>
      <c r="M16" s="36" t="n">
        <f aca="false">IF(A16="",0,IFERROR(INDEX(Items!$E$5:$E$304,MATCH(D16,Items!$A$5:$A$304,0)),0))</f>
        <v>0</v>
      </c>
      <c r="N16" s="37" t="str">
        <f aca="false">IF(A16="","",IFERROR(INDEX(Customers!$E$5:$E$204,MATCH(C16,Customers!$A$5:$A$204,0)),"?"))</f>
        <v/>
      </c>
      <c r="O16" s="38" t="str">
        <f aca="false">IF(A16="","",IF(N16=Settings!$B$17,"No","Yes"))</f>
        <v/>
      </c>
      <c r="P16" s="35" t="n">
        <f aca="false">IF(O16="Yes",ROUND(L16*M16,2),0)</f>
        <v>0</v>
      </c>
      <c r="Q16" s="35" t="n">
        <f aca="false">IF(O16="No",ROUND(L16*M16/2,2),0)</f>
        <v>0</v>
      </c>
      <c r="R16" s="35" t="n">
        <f aca="false">Q16</f>
        <v>0</v>
      </c>
      <c r="S16" s="35" t="n">
        <f aca="false">L16+P16+Q16+R16</f>
        <v>0</v>
      </c>
      <c r="T16" s="34" t="str">
        <f aca="false">IF(A16="","",IFERROR(INDEX(Customers!$B$5:$B$204,MATCH(C16,Customers!$A$5:$A$204,0))&amp;"",""))</f>
        <v/>
      </c>
      <c r="U16" s="38" t="str">
        <f aca="false">IF(A16="","",IF(T16&lt;&gt;"","B2B",IF(AND(O16="Yes",SUMIF($A$5:$A$1004,A16,$L$5:$L$1004)+SUMIF($A$5:$A$1004,A16,$P$5:$P$1004)&gt;100000),"B2CL","B2CS")))</f>
        <v/>
      </c>
      <c r="V16" s="17" t="str">
        <f aca="false">IF(A16="","",TEXT(B16,"mmm-yyyy"))</f>
        <v/>
      </c>
    </row>
    <row r="17" customFormat="false" ht="15" hidden="false" customHeight="true" outlineLevel="0" collapsed="false">
      <c r="A17" s="24"/>
      <c r="B17" s="39"/>
      <c r="C17" s="24"/>
      <c r="D17" s="24"/>
      <c r="E17" s="40"/>
      <c r="F17" s="29"/>
      <c r="G17" s="30"/>
      <c r="H17" s="17" t="str">
        <f aca="false">IF(A17="","",A17&amp;"|"&amp;COUNTIF(A$5:A17,A17))</f>
        <v/>
      </c>
      <c r="I17" s="33" t="str">
        <f aca="false">IF(A17="","",IFERROR(INDEX(Items!$B$5:$B$304,MATCH(D17,Items!$A$5:$A$304,0))&amp;"",""))</f>
        <v/>
      </c>
      <c r="J17" s="34" t="str">
        <f aca="false">IF(A17="","",IFERROR(INDEX(Items!$C$5:$C$304,MATCH(D17,Items!$A$5:$A$304,0))&amp;"",""))</f>
        <v/>
      </c>
      <c r="K17" s="35" t="n">
        <f aca="false">IF(A17="",0,IF(ISNUMBER(F17),F17,IFERROR(INDEX(Items!$D$5:$D$304,MATCH(D17,Items!$A$5:$A$304,0)),0)))</f>
        <v>0</v>
      </c>
      <c r="L17" s="35" t="n">
        <f aca="false">ROUND(N(E17)*K17*(1-N(G17)),2)</f>
        <v>0</v>
      </c>
      <c r="M17" s="36" t="n">
        <f aca="false">IF(A17="",0,IFERROR(INDEX(Items!$E$5:$E$304,MATCH(D17,Items!$A$5:$A$304,0)),0))</f>
        <v>0</v>
      </c>
      <c r="N17" s="37" t="str">
        <f aca="false">IF(A17="","",IFERROR(INDEX(Customers!$E$5:$E$204,MATCH(C17,Customers!$A$5:$A$204,0)),"?"))</f>
        <v/>
      </c>
      <c r="O17" s="38" t="str">
        <f aca="false">IF(A17="","",IF(N17=Settings!$B$17,"No","Yes"))</f>
        <v/>
      </c>
      <c r="P17" s="35" t="n">
        <f aca="false">IF(O17="Yes",ROUND(L17*M17,2),0)</f>
        <v>0</v>
      </c>
      <c r="Q17" s="35" t="n">
        <f aca="false">IF(O17="No",ROUND(L17*M17/2,2),0)</f>
        <v>0</v>
      </c>
      <c r="R17" s="35" t="n">
        <f aca="false">Q17</f>
        <v>0</v>
      </c>
      <c r="S17" s="35" t="n">
        <f aca="false">L17+P17+Q17+R17</f>
        <v>0</v>
      </c>
      <c r="T17" s="34" t="str">
        <f aca="false">IF(A17="","",IFERROR(INDEX(Customers!$B$5:$B$204,MATCH(C17,Customers!$A$5:$A$204,0))&amp;"",""))</f>
        <v/>
      </c>
      <c r="U17" s="38" t="str">
        <f aca="false">IF(A17="","",IF(T17&lt;&gt;"","B2B",IF(AND(O17="Yes",SUMIF($A$5:$A$1004,A17,$L$5:$L$1004)+SUMIF($A$5:$A$1004,A17,$P$5:$P$1004)&gt;100000),"B2CL","B2CS")))</f>
        <v/>
      </c>
      <c r="V17" s="17" t="str">
        <f aca="false">IF(A17="","",TEXT(B17,"mmm-yyyy"))</f>
        <v/>
      </c>
    </row>
    <row r="18" customFormat="false" ht="15" hidden="false" customHeight="true" outlineLevel="0" collapsed="false">
      <c r="A18" s="24"/>
      <c r="B18" s="39"/>
      <c r="C18" s="24"/>
      <c r="D18" s="24"/>
      <c r="E18" s="40"/>
      <c r="F18" s="29"/>
      <c r="G18" s="30"/>
      <c r="H18" s="17" t="str">
        <f aca="false">IF(A18="","",A18&amp;"|"&amp;COUNTIF(A$5:A18,A18))</f>
        <v/>
      </c>
      <c r="I18" s="33" t="str">
        <f aca="false">IF(A18="","",IFERROR(INDEX(Items!$B$5:$B$304,MATCH(D18,Items!$A$5:$A$304,0))&amp;"",""))</f>
        <v/>
      </c>
      <c r="J18" s="34" t="str">
        <f aca="false">IF(A18="","",IFERROR(INDEX(Items!$C$5:$C$304,MATCH(D18,Items!$A$5:$A$304,0))&amp;"",""))</f>
        <v/>
      </c>
      <c r="K18" s="35" t="n">
        <f aca="false">IF(A18="",0,IF(ISNUMBER(F18),F18,IFERROR(INDEX(Items!$D$5:$D$304,MATCH(D18,Items!$A$5:$A$304,0)),0)))</f>
        <v>0</v>
      </c>
      <c r="L18" s="35" t="n">
        <f aca="false">ROUND(N(E18)*K18*(1-N(G18)),2)</f>
        <v>0</v>
      </c>
      <c r="M18" s="36" t="n">
        <f aca="false">IF(A18="",0,IFERROR(INDEX(Items!$E$5:$E$304,MATCH(D18,Items!$A$5:$A$304,0)),0))</f>
        <v>0</v>
      </c>
      <c r="N18" s="37" t="str">
        <f aca="false">IF(A18="","",IFERROR(INDEX(Customers!$E$5:$E$204,MATCH(C18,Customers!$A$5:$A$204,0)),"?"))</f>
        <v/>
      </c>
      <c r="O18" s="38" t="str">
        <f aca="false">IF(A18="","",IF(N18=Settings!$B$17,"No","Yes"))</f>
        <v/>
      </c>
      <c r="P18" s="35" t="n">
        <f aca="false">IF(O18="Yes",ROUND(L18*M18,2),0)</f>
        <v>0</v>
      </c>
      <c r="Q18" s="35" t="n">
        <f aca="false">IF(O18="No",ROUND(L18*M18/2,2),0)</f>
        <v>0</v>
      </c>
      <c r="R18" s="35" t="n">
        <f aca="false">Q18</f>
        <v>0</v>
      </c>
      <c r="S18" s="35" t="n">
        <f aca="false">L18+P18+Q18+R18</f>
        <v>0</v>
      </c>
      <c r="T18" s="34" t="str">
        <f aca="false">IF(A18="","",IFERROR(INDEX(Customers!$B$5:$B$204,MATCH(C18,Customers!$A$5:$A$204,0))&amp;"",""))</f>
        <v/>
      </c>
      <c r="U18" s="38" t="str">
        <f aca="false">IF(A18="","",IF(T18&lt;&gt;"","B2B",IF(AND(O18="Yes",SUMIF($A$5:$A$1004,A18,$L$5:$L$1004)+SUMIF($A$5:$A$1004,A18,$P$5:$P$1004)&gt;100000),"B2CL","B2CS")))</f>
        <v/>
      </c>
      <c r="V18" s="17" t="str">
        <f aca="false">IF(A18="","",TEXT(B18,"mmm-yyyy"))</f>
        <v/>
      </c>
    </row>
    <row r="19" customFormat="false" ht="15" hidden="false" customHeight="true" outlineLevel="0" collapsed="false">
      <c r="A19" s="24"/>
      <c r="B19" s="39"/>
      <c r="C19" s="24"/>
      <c r="D19" s="24"/>
      <c r="E19" s="40"/>
      <c r="F19" s="29"/>
      <c r="G19" s="30"/>
      <c r="H19" s="17" t="str">
        <f aca="false">IF(A19="","",A19&amp;"|"&amp;COUNTIF(A$5:A19,A19))</f>
        <v/>
      </c>
      <c r="I19" s="33" t="str">
        <f aca="false">IF(A19="","",IFERROR(INDEX(Items!$B$5:$B$304,MATCH(D19,Items!$A$5:$A$304,0))&amp;"",""))</f>
        <v/>
      </c>
      <c r="J19" s="34" t="str">
        <f aca="false">IF(A19="","",IFERROR(INDEX(Items!$C$5:$C$304,MATCH(D19,Items!$A$5:$A$304,0))&amp;"",""))</f>
        <v/>
      </c>
      <c r="K19" s="35" t="n">
        <f aca="false">IF(A19="",0,IF(ISNUMBER(F19),F19,IFERROR(INDEX(Items!$D$5:$D$304,MATCH(D19,Items!$A$5:$A$304,0)),0)))</f>
        <v>0</v>
      </c>
      <c r="L19" s="35" t="n">
        <f aca="false">ROUND(N(E19)*K19*(1-N(G19)),2)</f>
        <v>0</v>
      </c>
      <c r="M19" s="36" t="n">
        <f aca="false">IF(A19="",0,IFERROR(INDEX(Items!$E$5:$E$304,MATCH(D19,Items!$A$5:$A$304,0)),0))</f>
        <v>0</v>
      </c>
      <c r="N19" s="37" t="str">
        <f aca="false">IF(A19="","",IFERROR(INDEX(Customers!$E$5:$E$204,MATCH(C19,Customers!$A$5:$A$204,0)),"?"))</f>
        <v/>
      </c>
      <c r="O19" s="38" t="str">
        <f aca="false">IF(A19="","",IF(N19=Settings!$B$17,"No","Yes"))</f>
        <v/>
      </c>
      <c r="P19" s="35" t="n">
        <f aca="false">IF(O19="Yes",ROUND(L19*M19,2),0)</f>
        <v>0</v>
      </c>
      <c r="Q19" s="35" t="n">
        <f aca="false">IF(O19="No",ROUND(L19*M19/2,2),0)</f>
        <v>0</v>
      </c>
      <c r="R19" s="35" t="n">
        <f aca="false">Q19</f>
        <v>0</v>
      </c>
      <c r="S19" s="35" t="n">
        <f aca="false">L19+P19+Q19+R19</f>
        <v>0</v>
      </c>
      <c r="T19" s="34" t="str">
        <f aca="false">IF(A19="","",IFERROR(INDEX(Customers!$B$5:$B$204,MATCH(C19,Customers!$A$5:$A$204,0))&amp;"",""))</f>
        <v/>
      </c>
      <c r="U19" s="38" t="str">
        <f aca="false">IF(A19="","",IF(T19&lt;&gt;"","B2B",IF(AND(O19="Yes",SUMIF($A$5:$A$1004,A19,$L$5:$L$1004)+SUMIF($A$5:$A$1004,A19,$P$5:$P$1004)&gt;100000),"B2CL","B2CS")))</f>
        <v/>
      </c>
      <c r="V19" s="17" t="str">
        <f aca="false">IF(A19="","",TEXT(B19,"mmm-yyyy"))</f>
        <v/>
      </c>
    </row>
    <row r="20" customFormat="false" ht="15" hidden="false" customHeight="true" outlineLevel="0" collapsed="false">
      <c r="A20" s="24"/>
      <c r="B20" s="39"/>
      <c r="C20" s="24"/>
      <c r="D20" s="24"/>
      <c r="E20" s="40"/>
      <c r="F20" s="29"/>
      <c r="G20" s="30"/>
      <c r="H20" s="17" t="str">
        <f aca="false">IF(A20="","",A20&amp;"|"&amp;COUNTIF(A$5:A20,A20))</f>
        <v/>
      </c>
      <c r="I20" s="33" t="str">
        <f aca="false">IF(A20="","",IFERROR(INDEX(Items!$B$5:$B$304,MATCH(D20,Items!$A$5:$A$304,0))&amp;"",""))</f>
        <v/>
      </c>
      <c r="J20" s="34" t="str">
        <f aca="false">IF(A20="","",IFERROR(INDEX(Items!$C$5:$C$304,MATCH(D20,Items!$A$5:$A$304,0))&amp;"",""))</f>
        <v/>
      </c>
      <c r="K20" s="35" t="n">
        <f aca="false">IF(A20="",0,IF(ISNUMBER(F20),F20,IFERROR(INDEX(Items!$D$5:$D$304,MATCH(D20,Items!$A$5:$A$304,0)),0)))</f>
        <v>0</v>
      </c>
      <c r="L20" s="35" t="n">
        <f aca="false">ROUND(N(E20)*K20*(1-N(G20)),2)</f>
        <v>0</v>
      </c>
      <c r="M20" s="36" t="n">
        <f aca="false">IF(A20="",0,IFERROR(INDEX(Items!$E$5:$E$304,MATCH(D20,Items!$A$5:$A$304,0)),0))</f>
        <v>0</v>
      </c>
      <c r="N20" s="37" t="str">
        <f aca="false">IF(A20="","",IFERROR(INDEX(Customers!$E$5:$E$204,MATCH(C20,Customers!$A$5:$A$204,0)),"?"))</f>
        <v/>
      </c>
      <c r="O20" s="38" t="str">
        <f aca="false">IF(A20="","",IF(N20=Settings!$B$17,"No","Yes"))</f>
        <v/>
      </c>
      <c r="P20" s="35" t="n">
        <f aca="false">IF(O20="Yes",ROUND(L20*M20,2),0)</f>
        <v>0</v>
      </c>
      <c r="Q20" s="35" t="n">
        <f aca="false">IF(O20="No",ROUND(L20*M20/2,2),0)</f>
        <v>0</v>
      </c>
      <c r="R20" s="35" t="n">
        <f aca="false">Q20</f>
        <v>0</v>
      </c>
      <c r="S20" s="35" t="n">
        <f aca="false">L20+P20+Q20+R20</f>
        <v>0</v>
      </c>
      <c r="T20" s="34" t="str">
        <f aca="false">IF(A20="","",IFERROR(INDEX(Customers!$B$5:$B$204,MATCH(C20,Customers!$A$5:$A$204,0))&amp;"",""))</f>
        <v/>
      </c>
      <c r="U20" s="38" t="str">
        <f aca="false">IF(A20="","",IF(T20&lt;&gt;"","B2B",IF(AND(O20="Yes",SUMIF($A$5:$A$1004,A20,$L$5:$L$1004)+SUMIF($A$5:$A$1004,A20,$P$5:$P$1004)&gt;100000),"B2CL","B2CS")))</f>
        <v/>
      </c>
      <c r="V20" s="17" t="str">
        <f aca="false">IF(A20="","",TEXT(B20,"mmm-yyyy"))</f>
        <v/>
      </c>
    </row>
    <row r="21" customFormat="false" ht="15" hidden="false" customHeight="true" outlineLevel="0" collapsed="false">
      <c r="A21" s="24"/>
      <c r="B21" s="39"/>
      <c r="C21" s="24"/>
      <c r="D21" s="24"/>
      <c r="E21" s="40"/>
      <c r="F21" s="29"/>
      <c r="G21" s="30"/>
      <c r="H21" s="17" t="str">
        <f aca="false">IF(A21="","",A21&amp;"|"&amp;COUNTIF(A$5:A21,A21))</f>
        <v/>
      </c>
      <c r="I21" s="33" t="str">
        <f aca="false">IF(A21="","",IFERROR(INDEX(Items!$B$5:$B$304,MATCH(D21,Items!$A$5:$A$304,0))&amp;"",""))</f>
        <v/>
      </c>
      <c r="J21" s="34" t="str">
        <f aca="false">IF(A21="","",IFERROR(INDEX(Items!$C$5:$C$304,MATCH(D21,Items!$A$5:$A$304,0))&amp;"",""))</f>
        <v/>
      </c>
      <c r="K21" s="35" t="n">
        <f aca="false">IF(A21="",0,IF(ISNUMBER(F21),F21,IFERROR(INDEX(Items!$D$5:$D$304,MATCH(D21,Items!$A$5:$A$304,0)),0)))</f>
        <v>0</v>
      </c>
      <c r="L21" s="35" t="n">
        <f aca="false">ROUND(N(E21)*K21*(1-N(G21)),2)</f>
        <v>0</v>
      </c>
      <c r="M21" s="36" t="n">
        <f aca="false">IF(A21="",0,IFERROR(INDEX(Items!$E$5:$E$304,MATCH(D21,Items!$A$5:$A$304,0)),0))</f>
        <v>0</v>
      </c>
      <c r="N21" s="37" t="str">
        <f aca="false">IF(A21="","",IFERROR(INDEX(Customers!$E$5:$E$204,MATCH(C21,Customers!$A$5:$A$204,0)),"?"))</f>
        <v/>
      </c>
      <c r="O21" s="38" t="str">
        <f aca="false">IF(A21="","",IF(N21=Settings!$B$17,"No","Yes"))</f>
        <v/>
      </c>
      <c r="P21" s="35" t="n">
        <f aca="false">IF(O21="Yes",ROUND(L21*M21,2),0)</f>
        <v>0</v>
      </c>
      <c r="Q21" s="35" t="n">
        <f aca="false">IF(O21="No",ROUND(L21*M21/2,2),0)</f>
        <v>0</v>
      </c>
      <c r="R21" s="35" t="n">
        <f aca="false">Q21</f>
        <v>0</v>
      </c>
      <c r="S21" s="35" t="n">
        <f aca="false">L21+P21+Q21+R21</f>
        <v>0</v>
      </c>
      <c r="T21" s="34" t="str">
        <f aca="false">IF(A21="","",IFERROR(INDEX(Customers!$B$5:$B$204,MATCH(C21,Customers!$A$5:$A$204,0))&amp;"",""))</f>
        <v/>
      </c>
      <c r="U21" s="38" t="str">
        <f aca="false">IF(A21="","",IF(T21&lt;&gt;"","B2B",IF(AND(O21="Yes",SUMIF($A$5:$A$1004,A21,$L$5:$L$1004)+SUMIF($A$5:$A$1004,A21,$P$5:$P$1004)&gt;100000),"B2CL","B2CS")))</f>
        <v/>
      </c>
      <c r="V21" s="17" t="str">
        <f aca="false">IF(A21="","",TEXT(B21,"mmm-yyyy"))</f>
        <v/>
      </c>
    </row>
    <row r="22" customFormat="false" ht="15" hidden="false" customHeight="true" outlineLevel="0" collapsed="false">
      <c r="A22" s="24"/>
      <c r="B22" s="39"/>
      <c r="C22" s="24"/>
      <c r="D22" s="24"/>
      <c r="E22" s="40"/>
      <c r="F22" s="29"/>
      <c r="G22" s="30"/>
      <c r="H22" s="17" t="str">
        <f aca="false">IF(A22="","",A22&amp;"|"&amp;COUNTIF(A$5:A22,A22))</f>
        <v/>
      </c>
      <c r="I22" s="33" t="str">
        <f aca="false">IF(A22="","",IFERROR(INDEX(Items!$B$5:$B$304,MATCH(D22,Items!$A$5:$A$304,0))&amp;"",""))</f>
        <v/>
      </c>
      <c r="J22" s="34" t="str">
        <f aca="false">IF(A22="","",IFERROR(INDEX(Items!$C$5:$C$304,MATCH(D22,Items!$A$5:$A$304,0))&amp;"",""))</f>
        <v/>
      </c>
      <c r="K22" s="35" t="n">
        <f aca="false">IF(A22="",0,IF(ISNUMBER(F22),F22,IFERROR(INDEX(Items!$D$5:$D$304,MATCH(D22,Items!$A$5:$A$304,0)),0)))</f>
        <v>0</v>
      </c>
      <c r="L22" s="35" t="n">
        <f aca="false">ROUND(N(E22)*K22*(1-N(G22)),2)</f>
        <v>0</v>
      </c>
      <c r="M22" s="36" t="n">
        <f aca="false">IF(A22="",0,IFERROR(INDEX(Items!$E$5:$E$304,MATCH(D22,Items!$A$5:$A$304,0)),0))</f>
        <v>0</v>
      </c>
      <c r="N22" s="37" t="str">
        <f aca="false">IF(A22="","",IFERROR(INDEX(Customers!$E$5:$E$204,MATCH(C22,Customers!$A$5:$A$204,0)),"?"))</f>
        <v/>
      </c>
      <c r="O22" s="38" t="str">
        <f aca="false">IF(A22="","",IF(N22=Settings!$B$17,"No","Yes"))</f>
        <v/>
      </c>
      <c r="P22" s="35" t="n">
        <f aca="false">IF(O22="Yes",ROUND(L22*M22,2),0)</f>
        <v>0</v>
      </c>
      <c r="Q22" s="35" t="n">
        <f aca="false">IF(O22="No",ROUND(L22*M22/2,2),0)</f>
        <v>0</v>
      </c>
      <c r="R22" s="35" t="n">
        <f aca="false">Q22</f>
        <v>0</v>
      </c>
      <c r="S22" s="35" t="n">
        <f aca="false">L22+P22+Q22+R22</f>
        <v>0</v>
      </c>
      <c r="T22" s="34" t="str">
        <f aca="false">IF(A22="","",IFERROR(INDEX(Customers!$B$5:$B$204,MATCH(C22,Customers!$A$5:$A$204,0))&amp;"",""))</f>
        <v/>
      </c>
      <c r="U22" s="38" t="str">
        <f aca="false">IF(A22="","",IF(T22&lt;&gt;"","B2B",IF(AND(O22="Yes",SUMIF($A$5:$A$1004,A22,$L$5:$L$1004)+SUMIF($A$5:$A$1004,A22,$P$5:$P$1004)&gt;100000),"B2CL","B2CS")))</f>
        <v/>
      </c>
      <c r="V22" s="17" t="str">
        <f aca="false">IF(A22="","",TEXT(B22,"mmm-yyyy"))</f>
        <v/>
      </c>
    </row>
    <row r="23" customFormat="false" ht="15" hidden="false" customHeight="true" outlineLevel="0" collapsed="false">
      <c r="A23" s="24"/>
      <c r="B23" s="39"/>
      <c r="C23" s="24"/>
      <c r="D23" s="24"/>
      <c r="E23" s="40"/>
      <c r="F23" s="29"/>
      <c r="G23" s="30"/>
      <c r="H23" s="17" t="str">
        <f aca="false">IF(A23="","",A23&amp;"|"&amp;COUNTIF(A$5:A23,A23))</f>
        <v/>
      </c>
      <c r="I23" s="33" t="str">
        <f aca="false">IF(A23="","",IFERROR(INDEX(Items!$B$5:$B$304,MATCH(D23,Items!$A$5:$A$304,0))&amp;"",""))</f>
        <v/>
      </c>
      <c r="J23" s="34" t="str">
        <f aca="false">IF(A23="","",IFERROR(INDEX(Items!$C$5:$C$304,MATCH(D23,Items!$A$5:$A$304,0))&amp;"",""))</f>
        <v/>
      </c>
      <c r="K23" s="35" t="n">
        <f aca="false">IF(A23="",0,IF(ISNUMBER(F23),F23,IFERROR(INDEX(Items!$D$5:$D$304,MATCH(D23,Items!$A$5:$A$304,0)),0)))</f>
        <v>0</v>
      </c>
      <c r="L23" s="35" t="n">
        <f aca="false">ROUND(N(E23)*K23*(1-N(G23)),2)</f>
        <v>0</v>
      </c>
      <c r="M23" s="36" t="n">
        <f aca="false">IF(A23="",0,IFERROR(INDEX(Items!$E$5:$E$304,MATCH(D23,Items!$A$5:$A$304,0)),0))</f>
        <v>0</v>
      </c>
      <c r="N23" s="37" t="str">
        <f aca="false">IF(A23="","",IFERROR(INDEX(Customers!$E$5:$E$204,MATCH(C23,Customers!$A$5:$A$204,0)),"?"))</f>
        <v/>
      </c>
      <c r="O23" s="38" t="str">
        <f aca="false">IF(A23="","",IF(N23=Settings!$B$17,"No","Yes"))</f>
        <v/>
      </c>
      <c r="P23" s="35" t="n">
        <f aca="false">IF(O23="Yes",ROUND(L23*M23,2),0)</f>
        <v>0</v>
      </c>
      <c r="Q23" s="35" t="n">
        <f aca="false">IF(O23="No",ROUND(L23*M23/2,2),0)</f>
        <v>0</v>
      </c>
      <c r="R23" s="35" t="n">
        <f aca="false">Q23</f>
        <v>0</v>
      </c>
      <c r="S23" s="35" t="n">
        <f aca="false">L23+P23+Q23+R23</f>
        <v>0</v>
      </c>
      <c r="T23" s="34" t="str">
        <f aca="false">IF(A23="","",IFERROR(INDEX(Customers!$B$5:$B$204,MATCH(C23,Customers!$A$5:$A$204,0))&amp;"",""))</f>
        <v/>
      </c>
      <c r="U23" s="38" t="str">
        <f aca="false">IF(A23="","",IF(T23&lt;&gt;"","B2B",IF(AND(O23="Yes",SUMIF($A$5:$A$1004,A23,$L$5:$L$1004)+SUMIF($A$5:$A$1004,A23,$P$5:$P$1004)&gt;100000),"B2CL","B2CS")))</f>
        <v/>
      </c>
      <c r="V23" s="17" t="str">
        <f aca="false">IF(A23="","",TEXT(B23,"mmm-yyyy"))</f>
        <v/>
      </c>
    </row>
    <row r="24" customFormat="false" ht="15" hidden="false" customHeight="true" outlineLevel="0" collapsed="false">
      <c r="A24" s="24"/>
      <c r="B24" s="39"/>
      <c r="C24" s="24"/>
      <c r="D24" s="24"/>
      <c r="E24" s="40"/>
      <c r="F24" s="29"/>
      <c r="G24" s="30"/>
      <c r="H24" s="17" t="str">
        <f aca="false">IF(A24="","",A24&amp;"|"&amp;COUNTIF(A$5:A24,A24))</f>
        <v/>
      </c>
      <c r="I24" s="33" t="str">
        <f aca="false">IF(A24="","",IFERROR(INDEX(Items!$B$5:$B$304,MATCH(D24,Items!$A$5:$A$304,0))&amp;"",""))</f>
        <v/>
      </c>
      <c r="J24" s="34" t="str">
        <f aca="false">IF(A24="","",IFERROR(INDEX(Items!$C$5:$C$304,MATCH(D24,Items!$A$5:$A$304,0))&amp;"",""))</f>
        <v/>
      </c>
      <c r="K24" s="35" t="n">
        <f aca="false">IF(A24="",0,IF(ISNUMBER(F24),F24,IFERROR(INDEX(Items!$D$5:$D$304,MATCH(D24,Items!$A$5:$A$304,0)),0)))</f>
        <v>0</v>
      </c>
      <c r="L24" s="35" t="n">
        <f aca="false">ROUND(N(E24)*K24*(1-N(G24)),2)</f>
        <v>0</v>
      </c>
      <c r="M24" s="36" t="n">
        <f aca="false">IF(A24="",0,IFERROR(INDEX(Items!$E$5:$E$304,MATCH(D24,Items!$A$5:$A$304,0)),0))</f>
        <v>0</v>
      </c>
      <c r="N24" s="37" t="str">
        <f aca="false">IF(A24="","",IFERROR(INDEX(Customers!$E$5:$E$204,MATCH(C24,Customers!$A$5:$A$204,0)),"?"))</f>
        <v/>
      </c>
      <c r="O24" s="38" t="str">
        <f aca="false">IF(A24="","",IF(N24=Settings!$B$17,"No","Yes"))</f>
        <v/>
      </c>
      <c r="P24" s="35" t="n">
        <f aca="false">IF(O24="Yes",ROUND(L24*M24,2),0)</f>
        <v>0</v>
      </c>
      <c r="Q24" s="35" t="n">
        <f aca="false">IF(O24="No",ROUND(L24*M24/2,2),0)</f>
        <v>0</v>
      </c>
      <c r="R24" s="35" t="n">
        <f aca="false">Q24</f>
        <v>0</v>
      </c>
      <c r="S24" s="35" t="n">
        <f aca="false">L24+P24+Q24+R24</f>
        <v>0</v>
      </c>
      <c r="T24" s="34" t="str">
        <f aca="false">IF(A24="","",IFERROR(INDEX(Customers!$B$5:$B$204,MATCH(C24,Customers!$A$5:$A$204,0))&amp;"",""))</f>
        <v/>
      </c>
      <c r="U24" s="38" t="str">
        <f aca="false">IF(A24="","",IF(T24&lt;&gt;"","B2B",IF(AND(O24="Yes",SUMIF($A$5:$A$1004,A24,$L$5:$L$1004)+SUMIF($A$5:$A$1004,A24,$P$5:$P$1004)&gt;100000),"B2CL","B2CS")))</f>
        <v/>
      </c>
      <c r="V24" s="17" t="str">
        <f aca="false">IF(A24="","",TEXT(B24,"mmm-yyyy"))</f>
        <v/>
      </c>
    </row>
    <row r="25" customFormat="false" ht="15" hidden="false" customHeight="true" outlineLevel="0" collapsed="false">
      <c r="A25" s="24"/>
      <c r="B25" s="39"/>
      <c r="C25" s="24"/>
      <c r="D25" s="24"/>
      <c r="E25" s="40"/>
      <c r="F25" s="29"/>
      <c r="G25" s="30"/>
      <c r="H25" s="17" t="str">
        <f aca="false">IF(A25="","",A25&amp;"|"&amp;COUNTIF(A$5:A25,A25))</f>
        <v/>
      </c>
      <c r="I25" s="33" t="str">
        <f aca="false">IF(A25="","",IFERROR(INDEX(Items!$B$5:$B$304,MATCH(D25,Items!$A$5:$A$304,0))&amp;"",""))</f>
        <v/>
      </c>
      <c r="J25" s="34" t="str">
        <f aca="false">IF(A25="","",IFERROR(INDEX(Items!$C$5:$C$304,MATCH(D25,Items!$A$5:$A$304,0))&amp;"",""))</f>
        <v/>
      </c>
      <c r="K25" s="35" t="n">
        <f aca="false">IF(A25="",0,IF(ISNUMBER(F25),F25,IFERROR(INDEX(Items!$D$5:$D$304,MATCH(D25,Items!$A$5:$A$304,0)),0)))</f>
        <v>0</v>
      </c>
      <c r="L25" s="35" t="n">
        <f aca="false">ROUND(N(E25)*K25*(1-N(G25)),2)</f>
        <v>0</v>
      </c>
      <c r="M25" s="36" t="n">
        <f aca="false">IF(A25="",0,IFERROR(INDEX(Items!$E$5:$E$304,MATCH(D25,Items!$A$5:$A$304,0)),0))</f>
        <v>0</v>
      </c>
      <c r="N25" s="37" t="str">
        <f aca="false">IF(A25="","",IFERROR(INDEX(Customers!$E$5:$E$204,MATCH(C25,Customers!$A$5:$A$204,0)),"?"))</f>
        <v/>
      </c>
      <c r="O25" s="38" t="str">
        <f aca="false">IF(A25="","",IF(N25=Settings!$B$17,"No","Yes"))</f>
        <v/>
      </c>
      <c r="P25" s="35" t="n">
        <f aca="false">IF(O25="Yes",ROUND(L25*M25,2),0)</f>
        <v>0</v>
      </c>
      <c r="Q25" s="35" t="n">
        <f aca="false">IF(O25="No",ROUND(L25*M25/2,2),0)</f>
        <v>0</v>
      </c>
      <c r="R25" s="35" t="n">
        <f aca="false">Q25</f>
        <v>0</v>
      </c>
      <c r="S25" s="35" t="n">
        <f aca="false">L25+P25+Q25+R25</f>
        <v>0</v>
      </c>
      <c r="T25" s="34" t="str">
        <f aca="false">IF(A25="","",IFERROR(INDEX(Customers!$B$5:$B$204,MATCH(C25,Customers!$A$5:$A$204,0))&amp;"",""))</f>
        <v/>
      </c>
      <c r="U25" s="38" t="str">
        <f aca="false">IF(A25="","",IF(T25&lt;&gt;"","B2B",IF(AND(O25="Yes",SUMIF($A$5:$A$1004,A25,$L$5:$L$1004)+SUMIF($A$5:$A$1004,A25,$P$5:$P$1004)&gt;100000),"B2CL","B2CS")))</f>
        <v/>
      </c>
      <c r="V25" s="17" t="str">
        <f aca="false">IF(A25="","",TEXT(B25,"mmm-yyyy"))</f>
        <v/>
      </c>
    </row>
    <row r="26" customFormat="false" ht="15" hidden="false" customHeight="true" outlineLevel="0" collapsed="false">
      <c r="A26" s="24"/>
      <c r="B26" s="39"/>
      <c r="C26" s="24"/>
      <c r="D26" s="24"/>
      <c r="E26" s="40"/>
      <c r="F26" s="29"/>
      <c r="G26" s="30"/>
      <c r="H26" s="17" t="str">
        <f aca="false">IF(A26="","",A26&amp;"|"&amp;COUNTIF(A$5:A26,A26))</f>
        <v/>
      </c>
      <c r="I26" s="33" t="str">
        <f aca="false">IF(A26="","",IFERROR(INDEX(Items!$B$5:$B$304,MATCH(D26,Items!$A$5:$A$304,0))&amp;"",""))</f>
        <v/>
      </c>
      <c r="J26" s="34" t="str">
        <f aca="false">IF(A26="","",IFERROR(INDEX(Items!$C$5:$C$304,MATCH(D26,Items!$A$5:$A$304,0))&amp;"",""))</f>
        <v/>
      </c>
      <c r="K26" s="35" t="n">
        <f aca="false">IF(A26="",0,IF(ISNUMBER(F26),F26,IFERROR(INDEX(Items!$D$5:$D$304,MATCH(D26,Items!$A$5:$A$304,0)),0)))</f>
        <v>0</v>
      </c>
      <c r="L26" s="35" t="n">
        <f aca="false">ROUND(N(E26)*K26*(1-N(G26)),2)</f>
        <v>0</v>
      </c>
      <c r="M26" s="36" t="n">
        <f aca="false">IF(A26="",0,IFERROR(INDEX(Items!$E$5:$E$304,MATCH(D26,Items!$A$5:$A$304,0)),0))</f>
        <v>0</v>
      </c>
      <c r="N26" s="37" t="str">
        <f aca="false">IF(A26="","",IFERROR(INDEX(Customers!$E$5:$E$204,MATCH(C26,Customers!$A$5:$A$204,0)),"?"))</f>
        <v/>
      </c>
      <c r="O26" s="38" t="str">
        <f aca="false">IF(A26="","",IF(N26=Settings!$B$17,"No","Yes"))</f>
        <v/>
      </c>
      <c r="P26" s="35" t="n">
        <f aca="false">IF(O26="Yes",ROUND(L26*M26,2),0)</f>
        <v>0</v>
      </c>
      <c r="Q26" s="35" t="n">
        <f aca="false">IF(O26="No",ROUND(L26*M26/2,2),0)</f>
        <v>0</v>
      </c>
      <c r="R26" s="35" t="n">
        <f aca="false">Q26</f>
        <v>0</v>
      </c>
      <c r="S26" s="35" t="n">
        <f aca="false">L26+P26+Q26+R26</f>
        <v>0</v>
      </c>
      <c r="T26" s="34" t="str">
        <f aca="false">IF(A26="","",IFERROR(INDEX(Customers!$B$5:$B$204,MATCH(C26,Customers!$A$5:$A$204,0))&amp;"",""))</f>
        <v/>
      </c>
      <c r="U26" s="38" t="str">
        <f aca="false">IF(A26="","",IF(T26&lt;&gt;"","B2B",IF(AND(O26="Yes",SUMIF($A$5:$A$1004,A26,$L$5:$L$1004)+SUMIF($A$5:$A$1004,A26,$P$5:$P$1004)&gt;100000),"B2CL","B2CS")))</f>
        <v/>
      </c>
      <c r="V26" s="17" t="str">
        <f aca="false">IF(A26="","",TEXT(B26,"mmm-yyyy"))</f>
        <v/>
      </c>
    </row>
    <row r="27" customFormat="false" ht="15" hidden="false" customHeight="true" outlineLevel="0" collapsed="false">
      <c r="A27" s="24"/>
      <c r="B27" s="39"/>
      <c r="C27" s="24"/>
      <c r="D27" s="24"/>
      <c r="E27" s="40"/>
      <c r="F27" s="29"/>
      <c r="G27" s="30"/>
      <c r="H27" s="17" t="str">
        <f aca="false">IF(A27="","",A27&amp;"|"&amp;COUNTIF(A$5:A27,A27))</f>
        <v/>
      </c>
      <c r="I27" s="33" t="str">
        <f aca="false">IF(A27="","",IFERROR(INDEX(Items!$B$5:$B$304,MATCH(D27,Items!$A$5:$A$304,0))&amp;"",""))</f>
        <v/>
      </c>
      <c r="J27" s="34" t="str">
        <f aca="false">IF(A27="","",IFERROR(INDEX(Items!$C$5:$C$304,MATCH(D27,Items!$A$5:$A$304,0))&amp;"",""))</f>
        <v/>
      </c>
      <c r="K27" s="35" t="n">
        <f aca="false">IF(A27="",0,IF(ISNUMBER(F27),F27,IFERROR(INDEX(Items!$D$5:$D$304,MATCH(D27,Items!$A$5:$A$304,0)),0)))</f>
        <v>0</v>
      </c>
      <c r="L27" s="35" t="n">
        <f aca="false">ROUND(N(E27)*K27*(1-N(G27)),2)</f>
        <v>0</v>
      </c>
      <c r="M27" s="36" t="n">
        <f aca="false">IF(A27="",0,IFERROR(INDEX(Items!$E$5:$E$304,MATCH(D27,Items!$A$5:$A$304,0)),0))</f>
        <v>0</v>
      </c>
      <c r="N27" s="37" t="str">
        <f aca="false">IF(A27="","",IFERROR(INDEX(Customers!$E$5:$E$204,MATCH(C27,Customers!$A$5:$A$204,0)),"?"))</f>
        <v/>
      </c>
      <c r="O27" s="38" t="str">
        <f aca="false">IF(A27="","",IF(N27=Settings!$B$17,"No","Yes"))</f>
        <v/>
      </c>
      <c r="P27" s="35" t="n">
        <f aca="false">IF(O27="Yes",ROUND(L27*M27,2),0)</f>
        <v>0</v>
      </c>
      <c r="Q27" s="35" t="n">
        <f aca="false">IF(O27="No",ROUND(L27*M27/2,2),0)</f>
        <v>0</v>
      </c>
      <c r="R27" s="35" t="n">
        <f aca="false">Q27</f>
        <v>0</v>
      </c>
      <c r="S27" s="35" t="n">
        <f aca="false">L27+P27+Q27+R27</f>
        <v>0</v>
      </c>
      <c r="T27" s="34" t="str">
        <f aca="false">IF(A27="","",IFERROR(INDEX(Customers!$B$5:$B$204,MATCH(C27,Customers!$A$5:$A$204,0))&amp;"",""))</f>
        <v/>
      </c>
      <c r="U27" s="38" t="str">
        <f aca="false">IF(A27="","",IF(T27&lt;&gt;"","B2B",IF(AND(O27="Yes",SUMIF($A$5:$A$1004,A27,$L$5:$L$1004)+SUMIF($A$5:$A$1004,A27,$P$5:$P$1004)&gt;100000),"B2CL","B2CS")))</f>
        <v/>
      </c>
      <c r="V27" s="17" t="str">
        <f aca="false">IF(A27="","",TEXT(B27,"mmm-yyyy"))</f>
        <v/>
      </c>
    </row>
    <row r="28" customFormat="false" ht="15" hidden="false" customHeight="true" outlineLevel="0" collapsed="false">
      <c r="A28" s="24"/>
      <c r="B28" s="39"/>
      <c r="C28" s="24"/>
      <c r="D28" s="24"/>
      <c r="E28" s="40"/>
      <c r="F28" s="29"/>
      <c r="G28" s="30"/>
      <c r="H28" s="17" t="str">
        <f aca="false">IF(A28="","",A28&amp;"|"&amp;COUNTIF(A$5:A28,A28))</f>
        <v/>
      </c>
      <c r="I28" s="33" t="str">
        <f aca="false">IF(A28="","",IFERROR(INDEX(Items!$B$5:$B$304,MATCH(D28,Items!$A$5:$A$304,0))&amp;"",""))</f>
        <v/>
      </c>
      <c r="J28" s="34" t="str">
        <f aca="false">IF(A28="","",IFERROR(INDEX(Items!$C$5:$C$304,MATCH(D28,Items!$A$5:$A$304,0))&amp;"",""))</f>
        <v/>
      </c>
      <c r="K28" s="35" t="n">
        <f aca="false">IF(A28="",0,IF(ISNUMBER(F28),F28,IFERROR(INDEX(Items!$D$5:$D$304,MATCH(D28,Items!$A$5:$A$304,0)),0)))</f>
        <v>0</v>
      </c>
      <c r="L28" s="35" t="n">
        <f aca="false">ROUND(N(E28)*K28*(1-N(G28)),2)</f>
        <v>0</v>
      </c>
      <c r="M28" s="36" t="n">
        <f aca="false">IF(A28="",0,IFERROR(INDEX(Items!$E$5:$E$304,MATCH(D28,Items!$A$5:$A$304,0)),0))</f>
        <v>0</v>
      </c>
      <c r="N28" s="37" t="str">
        <f aca="false">IF(A28="","",IFERROR(INDEX(Customers!$E$5:$E$204,MATCH(C28,Customers!$A$5:$A$204,0)),"?"))</f>
        <v/>
      </c>
      <c r="O28" s="38" t="str">
        <f aca="false">IF(A28="","",IF(N28=Settings!$B$17,"No","Yes"))</f>
        <v/>
      </c>
      <c r="P28" s="35" t="n">
        <f aca="false">IF(O28="Yes",ROUND(L28*M28,2),0)</f>
        <v>0</v>
      </c>
      <c r="Q28" s="35" t="n">
        <f aca="false">IF(O28="No",ROUND(L28*M28/2,2),0)</f>
        <v>0</v>
      </c>
      <c r="R28" s="35" t="n">
        <f aca="false">Q28</f>
        <v>0</v>
      </c>
      <c r="S28" s="35" t="n">
        <f aca="false">L28+P28+Q28+R28</f>
        <v>0</v>
      </c>
      <c r="T28" s="34" t="str">
        <f aca="false">IF(A28="","",IFERROR(INDEX(Customers!$B$5:$B$204,MATCH(C28,Customers!$A$5:$A$204,0))&amp;"",""))</f>
        <v/>
      </c>
      <c r="U28" s="38" t="str">
        <f aca="false">IF(A28="","",IF(T28&lt;&gt;"","B2B",IF(AND(O28="Yes",SUMIF($A$5:$A$1004,A28,$L$5:$L$1004)+SUMIF($A$5:$A$1004,A28,$P$5:$P$1004)&gt;100000),"B2CL","B2CS")))</f>
        <v/>
      </c>
      <c r="V28" s="17" t="str">
        <f aca="false">IF(A28="","",TEXT(B28,"mmm-yyyy"))</f>
        <v/>
      </c>
    </row>
    <row r="29" customFormat="false" ht="15" hidden="false" customHeight="true" outlineLevel="0" collapsed="false">
      <c r="A29" s="24"/>
      <c r="B29" s="39"/>
      <c r="C29" s="24"/>
      <c r="D29" s="24"/>
      <c r="E29" s="40"/>
      <c r="F29" s="29"/>
      <c r="G29" s="30"/>
      <c r="H29" s="17" t="str">
        <f aca="false">IF(A29="","",A29&amp;"|"&amp;COUNTIF(A$5:A29,A29))</f>
        <v/>
      </c>
      <c r="I29" s="33" t="str">
        <f aca="false">IF(A29="","",IFERROR(INDEX(Items!$B$5:$B$304,MATCH(D29,Items!$A$5:$A$304,0))&amp;"",""))</f>
        <v/>
      </c>
      <c r="J29" s="34" t="str">
        <f aca="false">IF(A29="","",IFERROR(INDEX(Items!$C$5:$C$304,MATCH(D29,Items!$A$5:$A$304,0))&amp;"",""))</f>
        <v/>
      </c>
      <c r="K29" s="35" t="n">
        <f aca="false">IF(A29="",0,IF(ISNUMBER(F29),F29,IFERROR(INDEX(Items!$D$5:$D$304,MATCH(D29,Items!$A$5:$A$304,0)),0)))</f>
        <v>0</v>
      </c>
      <c r="L29" s="35" t="n">
        <f aca="false">ROUND(N(E29)*K29*(1-N(G29)),2)</f>
        <v>0</v>
      </c>
      <c r="M29" s="36" t="n">
        <f aca="false">IF(A29="",0,IFERROR(INDEX(Items!$E$5:$E$304,MATCH(D29,Items!$A$5:$A$304,0)),0))</f>
        <v>0</v>
      </c>
      <c r="N29" s="37" t="str">
        <f aca="false">IF(A29="","",IFERROR(INDEX(Customers!$E$5:$E$204,MATCH(C29,Customers!$A$5:$A$204,0)),"?"))</f>
        <v/>
      </c>
      <c r="O29" s="38" t="str">
        <f aca="false">IF(A29="","",IF(N29=Settings!$B$17,"No","Yes"))</f>
        <v/>
      </c>
      <c r="P29" s="35" t="n">
        <f aca="false">IF(O29="Yes",ROUND(L29*M29,2),0)</f>
        <v>0</v>
      </c>
      <c r="Q29" s="35" t="n">
        <f aca="false">IF(O29="No",ROUND(L29*M29/2,2),0)</f>
        <v>0</v>
      </c>
      <c r="R29" s="35" t="n">
        <f aca="false">Q29</f>
        <v>0</v>
      </c>
      <c r="S29" s="35" t="n">
        <f aca="false">L29+P29+Q29+R29</f>
        <v>0</v>
      </c>
      <c r="T29" s="34" t="str">
        <f aca="false">IF(A29="","",IFERROR(INDEX(Customers!$B$5:$B$204,MATCH(C29,Customers!$A$5:$A$204,0))&amp;"",""))</f>
        <v/>
      </c>
      <c r="U29" s="38" t="str">
        <f aca="false">IF(A29="","",IF(T29&lt;&gt;"","B2B",IF(AND(O29="Yes",SUMIF($A$5:$A$1004,A29,$L$5:$L$1004)+SUMIF($A$5:$A$1004,A29,$P$5:$P$1004)&gt;100000),"B2CL","B2CS")))</f>
        <v/>
      </c>
      <c r="V29" s="17" t="str">
        <f aca="false">IF(A29="","",TEXT(B29,"mmm-yyyy"))</f>
        <v/>
      </c>
    </row>
    <row r="30" customFormat="false" ht="15" hidden="false" customHeight="true" outlineLevel="0" collapsed="false">
      <c r="A30" s="24"/>
      <c r="B30" s="39"/>
      <c r="C30" s="24"/>
      <c r="D30" s="24"/>
      <c r="E30" s="40"/>
      <c r="F30" s="29"/>
      <c r="G30" s="30"/>
      <c r="H30" s="17" t="str">
        <f aca="false">IF(A30="","",A30&amp;"|"&amp;COUNTIF(A$5:A30,A30))</f>
        <v/>
      </c>
      <c r="I30" s="33" t="str">
        <f aca="false">IF(A30="","",IFERROR(INDEX(Items!$B$5:$B$304,MATCH(D30,Items!$A$5:$A$304,0))&amp;"",""))</f>
        <v/>
      </c>
      <c r="J30" s="34" t="str">
        <f aca="false">IF(A30="","",IFERROR(INDEX(Items!$C$5:$C$304,MATCH(D30,Items!$A$5:$A$304,0))&amp;"",""))</f>
        <v/>
      </c>
      <c r="K30" s="35" t="n">
        <f aca="false">IF(A30="",0,IF(ISNUMBER(F30),F30,IFERROR(INDEX(Items!$D$5:$D$304,MATCH(D30,Items!$A$5:$A$304,0)),0)))</f>
        <v>0</v>
      </c>
      <c r="L30" s="35" t="n">
        <f aca="false">ROUND(N(E30)*K30*(1-N(G30)),2)</f>
        <v>0</v>
      </c>
      <c r="M30" s="36" t="n">
        <f aca="false">IF(A30="",0,IFERROR(INDEX(Items!$E$5:$E$304,MATCH(D30,Items!$A$5:$A$304,0)),0))</f>
        <v>0</v>
      </c>
      <c r="N30" s="37" t="str">
        <f aca="false">IF(A30="","",IFERROR(INDEX(Customers!$E$5:$E$204,MATCH(C30,Customers!$A$5:$A$204,0)),"?"))</f>
        <v/>
      </c>
      <c r="O30" s="38" t="str">
        <f aca="false">IF(A30="","",IF(N30=Settings!$B$17,"No","Yes"))</f>
        <v/>
      </c>
      <c r="P30" s="35" t="n">
        <f aca="false">IF(O30="Yes",ROUND(L30*M30,2),0)</f>
        <v>0</v>
      </c>
      <c r="Q30" s="35" t="n">
        <f aca="false">IF(O30="No",ROUND(L30*M30/2,2),0)</f>
        <v>0</v>
      </c>
      <c r="R30" s="35" t="n">
        <f aca="false">Q30</f>
        <v>0</v>
      </c>
      <c r="S30" s="35" t="n">
        <f aca="false">L30+P30+Q30+R30</f>
        <v>0</v>
      </c>
      <c r="T30" s="34" t="str">
        <f aca="false">IF(A30="","",IFERROR(INDEX(Customers!$B$5:$B$204,MATCH(C30,Customers!$A$5:$A$204,0))&amp;"",""))</f>
        <v/>
      </c>
      <c r="U30" s="38" t="str">
        <f aca="false">IF(A30="","",IF(T30&lt;&gt;"","B2B",IF(AND(O30="Yes",SUMIF($A$5:$A$1004,A30,$L$5:$L$1004)+SUMIF($A$5:$A$1004,A30,$P$5:$P$1004)&gt;100000),"B2CL","B2CS")))</f>
        <v/>
      </c>
      <c r="V30" s="17" t="str">
        <f aca="false">IF(A30="","",TEXT(B30,"mmm-yyyy"))</f>
        <v/>
      </c>
    </row>
    <row r="31" customFormat="false" ht="15" hidden="false" customHeight="true" outlineLevel="0" collapsed="false">
      <c r="A31" s="24"/>
      <c r="B31" s="39"/>
      <c r="C31" s="24"/>
      <c r="D31" s="24"/>
      <c r="E31" s="40"/>
      <c r="F31" s="29"/>
      <c r="G31" s="30"/>
      <c r="H31" s="17" t="str">
        <f aca="false">IF(A31="","",A31&amp;"|"&amp;COUNTIF(A$5:A31,A31))</f>
        <v/>
      </c>
      <c r="I31" s="33" t="str">
        <f aca="false">IF(A31="","",IFERROR(INDEX(Items!$B$5:$B$304,MATCH(D31,Items!$A$5:$A$304,0))&amp;"",""))</f>
        <v/>
      </c>
      <c r="J31" s="34" t="str">
        <f aca="false">IF(A31="","",IFERROR(INDEX(Items!$C$5:$C$304,MATCH(D31,Items!$A$5:$A$304,0))&amp;"",""))</f>
        <v/>
      </c>
      <c r="K31" s="35" t="n">
        <f aca="false">IF(A31="",0,IF(ISNUMBER(F31),F31,IFERROR(INDEX(Items!$D$5:$D$304,MATCH(D31,Items!$A$5:$A$304,0)),0)))</f>
        <v>0</v>
      </c>
      <c r="L31" s="35" t="n">
        <f aca="false">ROUND(N(E31)*K31*(1-N(G31)),2)</f>
        <v>0</v>
      </c>
      <c r="M31" s="36" t="n">
        <f aca="false">IF(A31="",0,IFERROR(INDEX(Items!$E$5:$E$304,MATCH(D31,Items!$A$5:$A$304,0)),0))</f>
        <v>0</v>
      </c>
      <c r="N31" s="37" t="str">
        <f aca="false">IF(A31="","",IFERROR(INDEX(Customers!$E$5:$E$204,MATCH(C31,Customers!$A$5:$A$204,0)),"?"))</f>
        <v/>
      </c>
      <c r="O31" s="38" t="str">
        <f aca="false">IF(A31="","",IF(N31=Settings!$B$17,"No","Yes"))</f>
        <v/>
      </c>
      <c r="P31" s="35" t="n">
        <f aca="false">IF(O31="Yes",ROUND(L31*M31,2),0)</f>
        <v>0</v>
      </c>
      <c r="Q31" s="35" t="n">
        <f aca="false">IF(O31="No",ROUND(L31*M31/2,2),0)</f>
        <v>0</v>
      </c>
      <c r="R31" s="35" t="n">
        <f aca="false">Q31</f>
        <v>0</v>
      </c>
      <c r="S31" s="35" t="n">
        <f aca="false">L31+P31+Q31+R31</f>
        <v>0</v>
      </c>
      <c r="T31" s="34" t="str">
        <f aca="false">IF(A31="","",IFERROR(INDEX(Customers!$B$5:$B$204,MATCH(C31,Customers!$A$5:$A$204,0))&amp;"",""))</f>
        <v/>
      </c>
      <c r="U31" s="38" t="str">
        <f aca="false">IF(A31="","",IF(T31&lt;&gt;"","B2B",IF(AND(O31="Yes",SUMIF($A$5:$A$1004,A31,$L$5:$L$1004)+SUMIF($A$5:$A$1004,A31,$P$5:$P$1004)&gt;100000),"B2CL","B2CS")))</f>
        <v/>
      </c>
      <c r="V31" s="17" t="str">
        <f aca="false">IF(A31="","",TEXT(B31,"mmm-yyyy"))</f>
        <v/>
      </c>
    </row>
    <row r="32" customFormat="false" ht="15" hidden="false" customHeight="true" outlineLevel="0" collapsed="false">
      <c r="A32" s="24"/>
      <c r="B32" s="39"/>
      <c r="C32" s="24"/>
      <c r="D32" s="24"/>
      <c r="E32" s="40"/>
      <c r="F32" s="29"/>
      <c r="G32" s="30"/>
      <c r="H32" s="17" t="str">
        <f aca="false">IF(A32="","",A32&amp;"|"&amp;COUNTIF(A$5:A32,A32))</f>
        <v/>
      </c>
      <c r="I32" s="33" t="str">
        <f aca="false">IF(A32="","",IFERROR(INDEX(Items!$B$5:$B$304,MATCH(D32,Items!$A$5:$A$304,0))&amp;"",""))</f>
        <v/>
      </c>
      <c r="J32" s="34" t="str">
        <f aca="false">IF(A32="","",IFERROR(INDEX(Items!$C$5:$C$304,MATCH(D32,Items!$A$5:$A$304,0))&amp;"",""))</f>
        <v/>
      </c>
      <c r="K32" s="35" t="n">
        <f aca="false">IF(A32="",0,IF(ISNUMBER(F32),F32,IFERROR(INDEX(Items!$D$5:$D$304,MATCH(D32,Items!$A$5:$A$304,0)),0)))</f>
        <v>0</v>
      </c>
      <c r="L32" s="35" t="n">
        <f aca="false">ROUND(N(E32)*K32*(1-N(G32)),2)</f>
        <v>0</v>
      </c>
      <c r="M32" s="36" t="n">
        <f aca="false">IF(A32="",0,IFERROR(INDEX(Items!$E$5:$E$304,MATCH(D32,Items!$A$5:$A$304,0)),0))</f>
        <v>0</v>
      </c>
      <c r="N32" s="37" t="str">
        <f aca="false">IF(A32="","",IFERROR(INDEX(Customers!$E$5:$E$204,MATCH(C32,Customers!$A$5:$A$204,0)),"?"))</f>
        <v/>
      </c>
      <c r="O32" s="38" t="str">
        <f aca="false">IF(A32="","",IF(N32=Settings!$B$17,"No","Yes"))</f>
        <v/>
      </c>
      <c r="P32" s="35" t="n">
        <f aca="false">IF(O32="Yes",ROUND(L32*M32,2),0)</f>
        <v>0</v>
      </c>
      <c r="Q32" s="35" t="n">
        <f aca="false">IF(O32="No",ROUND(L32*M32/2,2),0)</f>
        <v>0</v>
      </c>
      <c r="R32" s="35" t="n">
        <f aca="false">Q32</f>
        <v>0</v>
      </c>
      <c r="S32" s="35" t="n">
        <f aca="false">L32+P32+Q32+R32</f>
        <v>0</v>
      </c>
      <c r="T32" s="34" t="str">
        <f aca="false">IF(A32="","",IFERROR(INDEX(Customers!$B$5:$B$204,MATCH(C32,Customers!$A$5:$A$204,0))&amp;"",""))</f>
        <v/>
      </c>
      <c r="U32" s="38" t="str">
        <f aca="false">IF(A32="","",IF(T32&lt;&gt;"","B2B",IF(AND(O32="Yes",SUMIF($A$5:$A$1004,A32,$L$5:$L$1004)+SUMIF($A$5:$A$1004,A32,$P$5:$P$1004)&gt;100000),"B2CL","B2CS")))</f>
        <v/>
      </c>
      <c r="V32" s="17" t="str">
        <f aca="false">IF(A32="","",TEXT(B32,"mmm-yyyy"))</f>
        <v/>
      </c>
    </row>
    <row r="33" customFormat="false" ht="15" hidden="false" customHeight="true" outlineLevel="0" collapsed="false">
      <c r="A33" s="24"/>
      <c r="B33" s="39"/>
      <c r="C33" s="24"/>
      <c r="D33" s="24"/>
      <c r="E33" s="40"/>
      <c r="F33" s="29"/>
      <c r="G33" s="30"/>
      <c r="H33" s="17" t="str">
        <f aca="false">IF(A33="","",A33&amp;"|"&amp;COUNTIF(A$5:A33,A33))</f>
        <v/>
      </c>
      <c r="I33" s="33" t="str">
        <f aca="false">IF(A33="","",IFERROR(INDEX(Items!$B$5:$B$304,MATCH(D33,Items!$A$5:$A$304,0))&amp;"",""))</f>
        <v/>
      </c>
      <c r="J33" s="34" t="str">
        <f aca="false">IF(A33="","",IFERROR(INDEX(Items!$C$5:$C$304,MATCH(D33,Items!$A$5:$A$304,0))&amp;"",""))</f>
        <v/>
      </c>
      <c r="K33" s="35" t="n">
        <f aca="false">IF(A33="",0,IF(ISNUMBER(F33),F33,IFERROR(INDEX(Items!$D$5:$D$304,MATCH(D33,Items!$A$5:$A$304,0)),0)))</f>
        <v>0</v>
      </c>
      <c r="L33" s="35" t="n">
        <f aca="false">ROUND(N(E33)*K33*(1-N(G33)),2)</f>
        <v>0</v>
      </c>
      <c r="M33" s="36" t="n">
        <f aca="false">IF(A33="",0,IFERROR(INDEX(Items!$E$5:$E$304,MATCH(D33,Items!$A$5:$A$304,0)),0))</f>
        <v>0</v>
      </c>
      <c r="N33" s="37" t="str">
        <f aca="false">IF(A33="","",IFERROR(INDEX(Customers!$E$5:$E$204,MATCH(C33,Customers!$A$5:$A$204,0)),"?"))</f>
        <v/>
      </c>
      <c r="O33" s="38" t="str">
        <f aca="false">IF(A33="","",IF(N33=Settings!$B$17,"No","Yes"))</f>
        <v/>
      </c>
      <c r="P33" s="35" t="n">
        <f aca="false">IF(O33="Yes",ROUND(L33*M33,2),0)</f>
        <v>0</v>
      </c>
      <c r="Q33" s="35" t="n">
        <f aca="false">IF(O33="No",ROUND(L33*M33/2,2),0)</f>
        <v>0</v>
      </c>
      <c r="R33" s="35" t="n">
        <f aca="false">Q33</f>
        <v>0</v>
      </c>
      <c r="S33" s="35" t="n">
        <f aca="false">L33+P33+Q33+R33</f>
        <v>0</v>
      </c>
      <c r="T33" s="34" t="str">
        <f aca="false">IF(A33="","",IFERROR(INDEX(Customers!$B$5:$B$204,MATCH(C33,Customers!$A$5:$A$204,0))&amp;"",""))</f>
        <v/>
      </c>
      <c r="U33" s="38" t="str">
        <f aca="false">IF(A33="","",IF(T33&lt;&gt;"","B2B",IF(AND(O33="Yes",SUMIF($A$5:$A$1004,A33,$L$5:$L$1004)+SUMIF($A$5:$A$1004,A33,$P$5:$P$1004)&gt;100000),"B2CL","B2CS")))</f>
        <v/>
      </c>
      <c r="V33" s="17" t="str">
        <f aca="false">IF(A33="","",TEXT(B33,"mmm-yyyy"))</f>
        <v/>
      </c>
    </row>
    <row r="34" customFormat="false" ht="15" hidden="false" customHeight="true" outlineLevel="0" collapsed="false">
      <c r="A34" s="24"/>
      <c r="B34" s="39"/>
      <c r="C34" s="24"/>
      <c r="D34" s="24"/>
      <c r="E34" s="40"/>
      <c r="F34" s="29"/>
      <c r="G34" s="30"/>
      <c r="H34" s="17" t="str">
        <f aca="false">IF(A34="","",A34&amp;"|"&amp;COUNTIF(A$5:A34,A34))</f>
        <v/>
      </c>
      <c r="I34" s="33" t="str">
        <f aca="false">IF(A34="","",IFERROR(INDEX(Items!$B$5:$B$304,MATCH(D34,Items!$A$5:$A$304,0))&amp;"",""))</f>
        <v/>
      </c>
      <c r="J34" s="34" t="str">
        <f aca="false">IF(A34="","",IFERROR(INDEX(Items!$C$5:$C$304,MATCH(D34,Items!$A$5:$A$304,0))&amp;"",""))</f>
        <v/>
      </c>
      <c r="K34" s="35" t="n">
        <f aca="false">IF(A34="",0,IF(ISNUMBER(F34),F34,IFERROR(INDEX(Items!$D$5:$D$304,MATCH(D34,Items!$A$5:$A$304,0)),0)))</f>
        <v>0</v>
      </c>
      <c r="L34" s="35" t="n">
        <f aca="false">ROUND(N(E34)*K34*(1-N(G34)),2)</f>
        <v>0</v>
      </c>
      <c r="M34" s="36" t="n">
        <f aca="false">IF(A34="",0,IFERROR(INDEX(Items!$E$5:$E$304,MATCH(D34,Items!$A$5:$A$304,0)),0))</f>
        <v>0</v>
      </c>
      <c r="N34" s="37" t="str">
        <f aca="false">IF(A34="","",IFERROR(INDEX(Customers!$E$5:$E$204,MATCH(C34,Customers!$A$5:$A$204,0)),"?"))</f>
        <v/>
      </c>
      <c r="O34" s="38" t="str">
        <f aca="false">IF(A34="","",IF(N34=Settings!$B$17,"No","Yes"))</f>
        <v/>
      </c>
      <c r="P34" s="35" t="n">
        <f aca="false">IF(O34="Yes",ROUND(L34*M34,2),0)</f>
        <v>0</v>
      </c>
      <c r="Q34" s="35" t="n">
        <f aca="false">IF(O34="No",ROUND(L34*M34/2,2),0)</f>
        <v>0</v>
      </c>
      <c r="R34" s="35" t="n">
        <f aca="false">Q34</f>
        <v>0</v>
      </c>
      <c r="S34" s="35" t="n">
        <f aca="false">L34+P34+Q34+R34</f>
        <v>0</v>
      </c>
      <c r="T34" s="34" t="str">
        <f aca="false">IF(A34="","",IFERROR(INDEX(Customers!$B$5:$B$204,MATCH(C34,Customers!$A$5:$A$204,0))&amp;"",""))</f>
        <v/>
      </c>
      <c r="U34" s="38" t="str">
        <f aca="false">IF(A34="","",IF(T34&lt;&gt;"","B2B",IF(AND(O34="Yes",SUMIF($A$5:$A$1004,A34,$L$5:$L$1004)+SUMIF($A$5:$A$1004,A34,$P$5:$P$1004)&gt;100000),"B2CL","B2CS")))</f>
        <v/>
      </c>
      <c r="V34" s="17" t="str">
        <f aca="false">IF(A34="","",TEXT(B34,"mmm-yyyy"))</f>
        <v/>
      </c>
    </row>
    <row r="35" customFormat="false" ht="15" hidden="false" customHeight="true" outlineLevel="0" collapsed="false">
      <c r="A35" s="24"/>
      <c r="B35" s="39"/>
      <c r="C35" s="24"/>
      <c r="D35" s="24"/>
      <c r="E35" s="40"/>
      <c r="F35" s="29"/>
      <c r="G35" s="30"/>
      <c r="H35" s="17" t="str">
        <f aca="false">IF(A35="","",A35&amp;"|"&amp;COUNTIF(A$5:A35,A35))</f>
        <v/>
      </c>
      <c r="I35" s="33" t="str">
        <f aca="false">IF(A35="","",IFERROR(INDEX(Items!$B$5:$B$304,MATCH(D35,Items!$A$5:$A$304,0))&amp;"",""))</f>
        <v/>
      </c>
      <c r="J35" s="34" t="str">
        <f aca="false">IF(A35="","",IFERROR(INDEX(Items!$C$5:$C$304,MATCH(D35,Items!$A$5:$A$304,0))&amp;"",""))</f>
        <v/>
      </c>
      <c r="K35" s="35" t="n">
        <f aca="false">IF(A35="",0,IF(ISNUMBER(F35),F35,IFERROR(INDEX(Items!$D$5:$D$304,MATCH(D35,Items!$A$5:$A$304,0)),0)))</f>
        <v>0</v>
      </c>
      <c r="L35" s="35" t="n">
        <f aca="false">ROUND(N(E35)*K35*(1-N(G35)),2)</f>
        <v>0</v>
      </c>
      <c r="M35" s="36" t="n">
        <f aca="false">IF(A35="",0,IFERROR(INDEX(Items!$E$5:$E$304,MATCH(D35,Items!$A$5:$A$304,0)),0))</f>
        <v>0</v>
      </c>
      <c r="N35" s="37" t="str">
        <f aca="false">IF(A35="","",IFERROR(INDEX(Customers!$E$5:$E$204,MATCH(C35,Customers!$A$5:$A$204,0)),"?"))</f>
        <v/>
      </c>
      <c r="O35" s="38" t="str">
        <f aca="false">IF(A35="","",IF(N35=Settings!$B$17,"No","Yes"))</f>
        <v/>
      </c>
      <c r="P35" s="35" t="n">
        <f aca="false">IF(O35="Yes",ROUND(L35*M35,2),0)</f>
        <v>0</v>
      </c>
      <c r="Q35" s="35" t="n">
        <f aca="false">IF(O35="No",ROUND(L35*M35/2,2),0)</f>
        <v>0</v>
      </c>
      <c r="R35" s="35" t="n">
        <f aca="false">Q35</f>
        <v>0</v>
      </c>
      <c r="S35" s="35" t="n">
        <f aca="false">L35+P35+Q35+R35</f>
        <v>0</v>
      </c>
      <c r="T35" s="34" t="str">
        <f aca="false">IF(A35="","",IFERROR(INDEX(Customers!$B$5:$B$204,MATCH(C35,Customers!$A$5:$A$204,0))&amp;"",""))</f>
        <v/>
      </c>
      <c r="U35" s="38" t="str">
        <f aca="false">IF(A35="","",IF(T35&lt;&gt;"","B2B",IF(AND(O35="Yes",SUMIF($A$5:$A$1004,A35,$L$5:$L$1004)+SUMIF($A$5:$A$1004,A35,$P$5:$P$1004)&gt;100000),"B2CL","B2CS")))</f>
        <v/>
      </c>
      <c r="V35" s="17" t="str">
        <f aca="false">IF(A35="","",TEXT(B35,"mmm-yyyy"))</f>
        <v/>
      </c>
    </row>
    <row r="36" customFormat="false" ht="15" hidden="false" customHeight="true" outlineLevel="0" collapsed="false">
      <c r="A36" s="24"/>
      <c r="B36" s="39"/>
      <c r="C36" s="24"/>
      <c r="D36" s="24"/>
      <c r="E36" s="40"/>
      <c r="F36" s="29"/>
      <c r="G36" s="30"/>
      <c r="H36" s="17" t="str">
        <f aca="false">IF(A36="","",A36&amp;"|"&amp;COUNTIF(A$5:A36,A36))</f>
        <v/>
      </c>
      <c r="I36" s="33" t="str">
        <f aca="false">IF(A36="","",IFERROR(INDEX(Items!$B$5:$B$304,MATCH(D36,Items!$A$5:$A$304,0))&amp;"",""))</f>
        <v/>
      </c>
      <c r="J36" s="34" t="str">
        <f aca="false">IF(A36="","",IFERROR(INDEX(Items!$C$5:$C$304,MATCH(D36,Items!$A$5:$A$304,0))&amp;"",""))</f>
        <v/>
      </c>
      <c r="K36" s="35" t="n">
        <f aca="false">IF(A36="",0,IF(ISNUMBER(F36),F36,IFERROR(INDEX(Items!$D$5:$D$304,MATCH(D36,Items!$A$5:$A$304,0)),0)))</f>
        <v>0</v>
      </c>
      <c r="L36" s="35" t="n">
        <f aca="false">ROUND(N(E36)*K36*(1-N(G36)),2)</f>
        <v>0</v>
      </c>
      <c r="M36" s="36" t="n">
        <f aca="false">IF(A36="",0,IFERROR(INDEX(Items!$E$5:$E$304,MATCH(D36,Items!$A$5:$A$304,0)),0))</f>
        <v>0</v>
      </c>
      <c r="N36" s="37" t="str">
        <f aca="false">IF(A36="","",IFERROR(INDEX(Customers!$E$5:$E$204,MATCH(C36,Customers!$A$5:$A$204,0)),"?"))</f>
        <v/>
      </c>
      <c r="O36" s="38" t="str">
        <f aca="false">IF(A36="","",IF(N36=Settings!$B$17,"No","Yes"))</f>
        <v/>
      </c>
      <c r="P36" s="35" t="n">
        <f aca="false">IF(O36="Yes",ROUND(L36*M36,2),0)</f>
        <v>0</v>
      </c>
      <c r="Q36" s="35" t="n">
        <f aca="false">IF(O36="No",ROUND(L36*M36/2,2),0)</f>
        <v>0</v>
      </c>
      <c r="R36" s="35" t="n">
        <f aca="false">Q36</f>
        <v>0</v>
      </c>
      <c r="S36" s="35" t="n">
        <f aca="false">L36+P36+Q36+R36</f>
        <v>0</v>
      </c>
      <c r="T36" s="34" t="str">
        <f aca="false">IF(A36="","",IFERROR(INDEX(Customers!$B$5:$B$204,MATCH(C36,Customers!$A$5:$A$204,0))&amp;"",""))</f>
        <v/>
      </c>
      <c r="U36" s="38" t="str">
        <f aca="false">IF(A36="","",IF(T36&lt;&gt;"","B2B",IF(AND(O36="Yes",SUMIF($A$5:$A$1004,A36,$L$5:$L$1004)+SUMIF($A$5:$A$1004,A36,$P$5:$P$1004)&gt;100000),"B2CL","B2CS")))</f>
        <v/>
      </c>
      <c r="V36" s="17" t="str">
        <f aca="false">IF(A36="","",TEXT(B36,"mmm-yyyy"))</f>
        <v/>
      </c>
    </row>
    <row r="37" customFormat="false" ht="15" hidden="false" customHeight="true" outlineLevel="0" collapsed="false">
      <c r="A37" s="24"/>
      <c r="B37" s="39"/>
      <c r="C37" s="24"/>
      <c r="D37" s="24"/>
      <c r="E37" s="40"/>
      <c r="F37" s="29"/>
      <c r="G37" s="30"/>
      <c r="H37" s="17" t="str">
        <f aca="false">IF(A37="","",A37&amp;"|"&amp;COUNTIF(A$5:A37,A37))</f>
        <v/>
      </c>
      <c r="I37" s="33" t="str">
        <f aca="false">IF(A37="","",IFERROR(INDEX(Items!$B$5:$B$304,MATCH(D37,Items!$A$5:$A$304,0))&amp;"",""))</f>
        <v/>
      </c>
      <c r="J37" s="34" t="str">
        <f aca="false">IF(A37="","",IFERROR(INDEX(Items!$C$5:$C$304,MATCH(D37,Items!$A$5:$A$304,0))&amp;"",""))</f>
        <v/>
      </c>
      <c r="K37" s="35" t="n">
        <f aca="false">IF(A37="",0,IF(ISNUMBER(F37),F37,IFERROR(INDEX(Items!$D$5:$D$304,MATCH(D37,Items!$A$5:$A$304,0)),0)))</f>
        <v>0</v>
      </c>
      <c r="L37" s="35" t="n">
        <f aca="false">ROUND(N(E37)*K37*(1-N(G37)),2)</f>
        <v>0</v>
      </c>
      <c r="M37" s="36" t="n">
        <f aca="false">IF(A37="",0,IFERROR(INDEX(Items!$E$5:$E$304,MATCH(D37,Items!$A$5:$A$304,0)),0))</f>
        <v>0</v>
      </c>
      <c r="N37" s="37" t="str">
        <f aca="false">IF(A37="","",IFERROR(INDEX(Customers!$E$5:$E$204,MATCH(C37,Customers!$A$5:$A$204,0)),"?"))</f>
        <v/>
      </c>
      <c r="O37" s="38" t="str">
        <f aca="false">IF(A37="","",IF(N37=Settings!$B$17,"No","Yes"))</f>
        <v/>
      </c>
      <c r="P37" s="35" t="n">
        <f aca="false">IF(O37="Yes",ROUND(L37*M37,2),0)</f>
        <v>0</v>
      </c>
      <c r="Q37" s="35" t="n">
        <f aca="false">IF(O37="No",ROUND(L37*M37/2,2),0)</f>
        <v>0</v>
      </c>
      <c r="R37" s="35" t="n">
        <f aca="false">Q37</f>
        <v>0</v>
      </c>
      <c r="S37" s="35" t="n">
        <f aca="false">L37+P37+Q37+R37</f>
        <v>0</v>
      </c>
      <c r="T37" s="34" t="str">
        <f aca="false">IF(A37="","",IFERROR(INDEX(Customers!$B$5:$B$204,MATCH(C37,Customers!$A$5:$A$204,0))&amp;"",""))</f>
        <v/>
      </c>
      <c r="U37" s="38" t="str">
        <f aca="false">IF(A37="","",IF(T37&lt;&gt;"","B2B",IF(AND(O37="Yes",SUMIF($A$5:$A$1004,A37,$L$5:$L$1004)+SUMIF($A$5:$A$1004,A37,$P$5:$P$1004)&gt;100000),"B2CL","B2CS")))</f>
        <v/>
      </c>
      <c r="V37" s="17" t="str">
        <f aca="false">IF(A37="","",TEXT(B37,"mmm-yyyy"))</f>
        <v/>
      </c>
    </row>
    <row r="38" customFormat="false" ht="15" hidden="false" customHeight="true" outlineLevel="0" collapsed="false">
      <c r="A38" s="24"/>
      <c r="B38" s="39"/>
      <c r="C38" s="24"/>
      <c r="D38" s="24"/>
      <c r="E38" s="40"/>
      <c r="F38" s="29"/>
      <c r="G38" s="30"/>
      <c r="H38" s="17" t="str">
        <f aca="false">IF(A38="","",A38&amp;"|"&amp;COUNTIF(A$5:A38,A38))</f>
        <v/>
      </c>
      <c r="I38" s="33" t="str">
        <f aca="false">IF(A38="","",IFERROR(INDEX(Items!$B$5:$B$304,MATCH(D38,Items!$A$5:$A$304,0))&amp;"",""))</f>
        <v/>
      </c>
      <c r="J38" s="34" t="str">
        <f aca="false">IF(A38="","",IFERROR(INDEX(Items!$C$5:$C$304,MATCH(D38,Items!$A$5:$A$304,0))&amp;"",""))</f>
        <v/>
      </c>
      <c r="K38" s="35" t="n">
        <f aca="false">IF(A38="",0,IF(ISNUMBER(F38),F38,IFERROR(INDEX(Items!$D$5:$D$304,MATCH(D38,Items!$A$5:$A$304,0)),0)))</f>
        <v>0</v>
      </c>
      <c r="L38" s="35" t="n">
        <f aca="false">ROUND(N(E38)*K38*(1-N(G38)),2)</f>
        <v>0</v>
      </c>
      <c r="M38" s="36" t="n">
        <f aca="false">IF(A38="",0,IFERROR(INDEX(Items!$E$5:$E$304,MATCH(D38,Items!$A$5:$A$304,0)),0))</f>
        <v>0</v>
      </c>
      <c r="N38" s="37" t="str">
        <f aca="false">IF(A38="","",IFERROR(INDEX(Customers!$E$5:$E$204,MATCH(C38,Customers!$A$5:$A$204,0)),"?"))</f>
        <v/>
      </c>
      <c r="O38" s="38" t="str">
        <f aca="false">IF(A38="","",IF(N38=Settings!$B$17,"No","Yes"))</f>
        <v/>
      </c>
      <c r="P38" s="35" t="n">
        <f aca="false">IF(O38="Yes",ROUND(L38*M38,2),0)</f>
        <v>0</v>
      </c>
      <c r="Q38" s="35" t="n">
        <f aca="false">IF(O38="No",ROUND(L38*M38/2,2),0)</f>
        <v>0</v>
      </c>
      <c r="R38" s="35" t="n">
        <f aca="false">Q38</f>
        <v>0</v>
      </c>
      <c r="S38" s="35" t="n">
        <f aca="false">L38+P38+Q38+R38</f>
        <v>0</v>
      </c>
      <c r="T38" s="34" t="str">
        <f aca="false">IF(A38="","",IFERROR(INDEX(Customers!$B$5:$B$204,MATCH(C38,Customers!$A$5:$A$204,0))&amp;"",""))</f>
        <v/>
      </c>
      <c r="U38" s="38" t="str">
        <f aca="false">IF(A38="","",IF(T38&lt;&gt;"","B2B",IF(AND(O38="Yes",SUMIF($A$5:$A$1004,A38,$L$5:$L$1004)+SUMIF($A$5:$A$1004,A38,$P$5:$P$1004)&gt;100000),"B2CL","B2CS")))</f>
        <v/>
      </c>
      <c r="V38" s="17" t="str">
        <f aca="false">IF(A38="","",TEXT(B38,"mmm-yyyy"))</f>
        <v/>
      </c>
    </row>
    <row r="39" customFormat="false" ht="15" hidden="false" customHeight="true" outlineLevel="0" collapsed="false">
      <c r="A39" s="24"/>
      <c r="B39" s="39"/>
      <c r="C39" s="24"/>
      <c r="D39" s="24"/>
      <c r="E39" s="40"/>
      <c r="F39" s="29"/>
      <c r="G39" s="30"/>
      <c r="H39" s="17" t="str">
        <f aca="false">IF(A39="","",A39&amp;"|"&amp;COUNTIF(A$5:A39,A39))</f>
        <v/>
      </c>
      <c r="I39" s="33" t="str">
        <f aca="false">IF(A39="","",IFERROR(INDEX(Items!$B$5:$B$304,MATCH(D39,Items!$A$5:$A$304,0))&amp;"",""))</f>
        <v/>
      </c>
      <c r="J39" s="34" t="str">
        <f aca="false">IF(A39="","",IFERROR(INDEX(Items!$C$5:$C$304,MATCH(D39,Items!$A$5:$A$304,0))&amp;"",""))</f>
        <v/>
      </c>
      <c r="K39" s="35" t="n">
        <f aca="false">IF(A39="",0,IF(ISNUMBER(F39),F39,IFERROR(INDEX(Items!$D$5:$D$304,MATCH(D39,Items!$A$5:$A$304,0)),0)))</f>
        <v>0</v>
      </c>
      <c r="L39" s="35" t="n">
        <f aca="false">ROUND(N(E39)*K39*(1-N(G39)),2)</f>
        <v>0</v>
      </c>
      <c r="M39" s="36" t="n">
        <f aca="false">IF(A39="",0,IFERROR(INDEX(Items!$E$5:$E$304,MATCH(D39,Items!$A$5:$A$304,0)),0))</f>
        <v>0</v>
      </c>
      <c r="N39" s="37" t="str">
        <f aca="false">IF(A39="","",IFERROR(INDEX(Customers!$E$5:$E$204,MATCH(C39,Customers!$A$5:$A$204,0)),"?"))</f>
        <v/>
      </c>
      <c r="O39" s="38" t="str">
        <f aca="false">IF(A39="","",IF(N39=Settings!$B$17,"No","Yes"))</f>
        <v/>
      </c>
      <c r="P39" s="35" t="n">
        <f aca="false">IF(O39="Yes",ROUND(L39*M39,2),0)</f>
        <v>0</v>
      </c>
      <c r="Q39" s="35" t="n">
        <f aca="false">IF(O39="No",ROUND(L39*M39/2,2),0)</f>
        <v>0</v>
      </c>
      <c r="R39" s="35" t="n">
        <f aca="false">Q39</f>
        <v>0</v>
      </c>
      <c r="S39" s="35" t="n">
        <f aca="false">L39+P39+Q39+R39</f>
        <v>0</v>
      </c>
      <c r="T39" s="34" t="str">
        <f aca="false">IF(A39="","",IFERROR(INDEX(Customers!$B$5:$B$204,MATCH(C39,Customers!$A$5:$A$204,0))&amp;"",""))</f>
        <v/>
      </c>
      <c r="U39" s="38" t="str">
        <f aca="false">IF(A39="","",IF(T39&lt;&gt;"","B2B",IF(AND(O39="Yes",SUMIF($A$5:$A$1004,A39,$L$5:$L$1004)+SUMIF($A$5:$A$1004,A39,$P$5:$P$1004)&gt;100000),"B2CL","B2CS")))</f>
        <v/>
      </c>
      <c r="V39" s="17" t="str">
        <f aca="false">IF(A39="","",TEXT(B39,"mmm-yyyy"))</f>
        <v/>
      </c>
    </row>
    <row r="40" customFormat="false" ht="15" hidden="false" customHeight="true" outlineLevel="0" collapsed="false">
      <c r="A40" s="24"/>
      <c r="B40" s="39"/>
      <c r="C40" s="24"/>
      <c r="D40" s="24"/>
      <c r="E40" s="40"/>
      <c r="F40" s="29"/>
      <c r="G40" s="30"/>
      <c r="H40" s="17" t="str">
        <f aca="false">IF(A40="","",A40&amp;"|"&amp;COUNTIF(A$5:A40,A40))</f>
        <v/>
      </c>
      <c r="I40" s="33" t="str">
        <f aca="false">IF(A40="","",IFERROR(INDEX(Items!$B$5:$B$304,MATCH(D40,Items!$A$5:$A$304,0))&amp;"",""))</f>
        <v/>
      </c>
      <c r="J40" s="34" t="str">
        <f aca="false">IF(A40="","",IFERROR(INDEX(Items!$C$5:$C$304,MATCH(D40,Items!$A$5:$A$304,0))&amp;"",""))</f>
        <v/>
      </c>
      <c r="K40" s="35" t="n">
        <f aca="false">IF(A40="",0,IF(ISNUMBER(F40),F40,IFERROR(INDEX(Items!$D$5:$D$304,MATCH(D40,Items!$A$5:$A$304,0)),0)))</f>
        <v>0</v>
      </c>
      <c r="L40" s="35" t="n">
        <f aca="false">ROUND(N(E40)*K40*(1-N(G40)),2)</f>
        <v>0</v>
      </c>
      <c r="M40" s="36" t="n">
        <f aca="false">IF(A40="",0,IFERROR(INDEX(Items!$E$5:$E$304,MATCH(D40,Items!$A$5:$A$304,0)),0))</f>
        <v>0</v>
      </c>
      <c r="N40" s="37" t="str">
        <f aca="false">IF(A40="","",IFERROR(INDEX(Customers!$E$5:$E$204,MATCH(C40,Customers!$A$5:$A$204,0)),"?"))</f>
        <v/>
      </c>
      <c r="O40" s="38" t="str">
        <f aca="false">IF(A40="","",IF(N40=Settings!$B$17,"No","Yes"))</f>
        <v/>
      </c>
      <c r="P40" s="35" t="n">
        <f aca="false">IF(O40="Yes",ROUND(L40*M40,2),0)</f>
        <v>0</v>
      </c>
      <c r="Q40" s="35" t="n">
        <f aca="false">IF(O40="No",ROUND(L40*M40/2,2),0)</f>
        <v>0</v>
      </c>
      <c r="R40" s="35" t="n">
        <f aca="false">Q40</f>
        <v>0</v>
      </c>
      <c r="S40" s="35" t="n">
        <f aca="false">L40+P40+Q40+R40</f>
        <v>0</v>
      </c>
      <c r="T40" s="34" t="str">
        <f aca="false">IF(A40="","",IFERROR(INDEX(Customers!$B$5:$B$204,MATCH(C40,Customers!$A$5:$A$204,0))&amp;"",""))</f>
        <v/>
      </c>
      <c r="U40" s="38" t="str">
        <f aca="false">IF(A40="","",IF(T40&lt;&gt;"","B2B",IF(AND(O40="Yes",SUMIF($A$5:$A$1004,A40,$L$5:$L$1004)+SUMIF($A$5:$A$1004,A40,$P$5:$P$1004)&gt;100000),"B2CL","B2CS")))</f>
        <v/>
      </c>
      <c r="V40" s="17" t="str">
        <f aca="false">IF(A40="","",TEXT(B40,"mmm-yyyy"))</f>
        <v/>
      </c>
    </row>
    <row r="41" customFormat="false" ht="15" hidden="false" customHeight="true" outlineLevel="0" collapsed="false">
      <c r="A41" s="24"/>
      <c r="B41" s="39"/>
      <c r="C41" s="24"/>
      <c r="D41" s="24"/>
      <c r="E41" s="40"/>
      <c r="F41" s="29"/>
      <c r="G41" s="30"/>
      <c r="H41" s="17" t="str">
        <f aca="false">IF(A41="","",A41&amp;"|"&amp;COUNTIF(A$5:A41,A41))</f>
        <v/>
      </c>
      <c r="I41" s="33" t="str">
        <f aca="false">IF(A41="","",IFERROR(INDEX(Items!$B$5:$B$304,MATCH(D41,Items!$A$5:$A$304,0))&amp;"",""))</f>
        <v/>
      </c>
      <c r="J41" s="34" t="str">
        <f aca="false">IF(A41="","",IFERROR(INDEX(Items!$C$5:$C$304,MATCH(D41,Items!$A$5:$A$304,0))&amp;"",""))</f>
        <v/>
      </c>
      <c r="K41" s="35" t="n">
        <f aca="false">IF(A41="",0,IF(ISNUMBER(F41),F41,IFERROR(INDEX(Items!$D$5:$D$304,MATCH(D41,Items!$A$5:$A$304,0)),0)))</f>
        <v>0</v>
      </c>
      <c r="L41" s="35" t="n">
        <f aca="false">ROUND(N(E41)*K41*(1-N(G41)),2)</f>
        <v>0</v>
      </c>
      <c r="M41" s="36" t="n">
        <f aca="false">IF(A41="",0,IFERROR(INDEX(Items!$E$5:$E$304,MATCH(D41,Items!$A$5:$A$304,0)),0))</f>
        <v>0</v>
      </c>
      <c r="N41" s="37" t="str">
        <f aca="false">IF(A41="","",IFERROR(INDEX(Customers!$E$5:$E$204,MATCH(C41,Customers!$A$5:$A$204,0)),"?"))</f>
        <v/>
      </c>
      <c r="O41" s="38" t="str">
        <f aca="false">IF(A41="","",IF(N41=Settings!$B$17,"No","Yes"))</f>
        <v/>
      </c>
      <c r="P41" s="35" t="n">
        <f aca="false">IF(O41="Yes",ROUND(L41*M41,2),0)</f>
        <v>0</v>
      </c>
      <c r="Q41" s="35" t="n">
        <f aca="false">IF(O41="No",ROUND(L41*M41/2,2),0)</f>
        <v>0</v>
      </c>
      <c r="R41" s="35" t="n">
        <f aca="false">Q41</f>
        <v>0</v>
      </c>
      <c r="S41" s="35" t="n">
        <f aca="false">L41+P41+Q41+R41</f>
        <v>0</v>
      </c>
      <c r="T41" s="34" t="str">
        <f aca="false">IF(A41="","",IFERROR(INDEX(Customers!$B$5:$B$204,MATCH(C41,Customers!$A$5:$A$204,0))&amp;"",""))</f>
        <v/>
      </c>
      <c r="U41" s="38" t="str">
        <f aca="false">IF(A41="","",IF(T41&lt;&gt;"","B2B",IF(AND(O41="Yes",SUMIF($A$5:$A$1004,A41,$L$5:$L$1004)+SUMIF($A$5:$A$1004,A41,$P$5:$P$1004)&gt;100000),"B2CL","B2CS")))</f>
        <v/>
      </c>
      <c r="V41" s="17" t="str">
        <f aca="false">IF(A41="","",TEXT(B41,"mmm-yyyy"))</f>
        <v/>
      </c>
    </row>
    <row r="42" customFormat="false" ht="15" hidden="false" customHeight="true" outlineLevel="0" collapsed="false">
      <c r="A42" s="24"/>
      <c r="B42" s="39"/>
      <c r="C42" s="24"/>
      <c r="D42" s="24"/>
      <c r="E42" s="40"/>
      <c r="F42" s="29"/>
      <c r="G42" s="30"/>
      <c r="H42" s="17" t="str">
        <f aca="false">IF(A42="","",A42&amp;"|"&amp;COUNTIF(A$5:A42,A42))</f>
        <v/>
      </c>
      <c r="I42" s="33" t="str">
        <f aca="false">IF(A42="","",IFERROR(INDEX(Items!$B$5:$B$304,MATCH(D42,Items!$A$5:$A$304,0))&amp;"",""))</f>
        <v/>
      </c>
      <c r="J42" s="34" t="str">
        <f aca="false">IF(A42="","",IFERROR(INDEX(Items!$C$5:$C$304,MATCH(D42,Items!$A$5:$A$304,0))&amp;"",""))</f>
        <v/>
      </c>
      <c r="K42" s="35" t="n">
        <f aca="false">IF(A42="",0,IF(ISNUMBER(F42),F42,IFERROR(INDEX(Items!$D$5:$D$304,MATCH(D42,Items!$A$5:$A$304,0)),0)))</f>
        <v>0</v>
      </c>
      <c r="L42" s="35" t="n">
        <f aca="false">ROUND(N(E42)*K42*(1-N(G42)),2)</f>
        <v>0</v>
      </c>
      <c r="M42" s="36" t="n">
        <f aca="false">IF(A42="",0,IFERROR(INDEX(Items!$E$5:$E$304,MATCH(D42,Items!$A$5:$A$304,0)),0))</f>
        <v>0</v>
      </c>
      <c r="N42" s="37" t="str">
        <f aca="false">IF(A42="","",IFERROR(INDEX(Customers!$E$5:$E$204,MATCH(C42,Customers!$A$5:$A$204,0)),"?"))</f>
        <v/>
      </c>
      <c r="O42" s="38" t="str">
        <f aca="false">IF(A42="","",IF(N42=Settings!$B$17,"No","Yes"))</f>
        <v/>
      </c>
      <c r="P42" s="35" t="n">
        <f aca="false">IF(O42="Yes",ROUND(L42*M42,2),0)</f>
        <v>0</v>
      </c>
      <c r="Q42" s="35" t="n">
        <f aca="false">IF(O42="No",ROUND(L42*M42/2,2),0)</f>
        <v>0</v>
      </c>
      <c r="R42" s="35" t="n">
        <f aca="false">Q42</f>
        <v>0</v>
      </c>
      <c r="S42" s="35" t="n">
        <f aca="false">L42+P42+Q42+R42</f>
        <v>0</v>
      </c>
      <c r="T42" s="34" t="str">
        <f aca="false">IF(A42="","",IFERROR(INDEX(Customers!$B$5:$B$204,MATCH(C42,Customers!$A$5:$A$204,0))&amp;"",""))</f>
        <v/>
      </c>
      <c r="U42" s="38" t="str">
        <f aca="false">IF(A42="","",IF(T42&lt;&gt;"","B2B",IF(AND(O42="Yes",SUMIF($A$5:$A$1004,A42,$L$5:$L$1004)+SUMIF($A$5:$A$1004,A42,$P$5:$P$1004)&gt;100000),"B2CL","B2CS")))</f>
        <v/>
      </c>
      <c r="V42" s="17" t="str">
        <f aca="false">IF(A42="","",TEXT(B42,"mmm-yyyy"))</f>
        <v/>
      </c>
    </row>
    <row r="43" customFormat="false" ht="15" hidden="false" customHeight="true" outlineLevel="0" collapsed="false">
      <c r="A43" s="24"/>
      <c r="B43" s="39"/>
      <c r="C43" s="24"/>
      <c r="D43" s="24"/>
      <c r="E43" s="40"/>
      <c r="F43" s="29"/>
      <c r="G43" s="30"/>
      <c r="H43" s="17" t="str">
        <f aca="false">IF(A43="","",A43&amp;"|"&amp;COUNTIF(A$5:A43,A43))</f>
        <v/>
      </c>
      <c r="I43" s="33" t="str">
        <f aca="false">IF(A43="","",IFERROR(INDEX(Items!$B$5:$B$304,MATCH(D43,Items!$A$5:$A$304,0))&amp;"",""))</f>
        <v/>
      </c>
      <c r="J43" s="34" t="str">
        <f aca="false">IF(A43="","",IFERROR(INDEX(Items!$C$5:$C$304,MATCH(D43,Items!$A$5:$A$304,0))&amp;"",""))</f>
        <v/>
      </c>
      <c r="K43" s="35" t="n">
        <f aca="false">IF(A43="",0,IF(ISNUMBER(F43),F43,IFERROR(INDEX(Items!$D$5:$D$304,MATCH(D43,Items!$A$5:$A$304,0)),0)))</f>
        <v>0</v>
      </c>
      <c r="L43" s="35" t="n">
        <f aca="false">ROUND(N(E43)*K43*(1-N(G43)),2)</f>
        <v>0</v>
      </c>
      <c r="M43" s="36" t="n">
        <f aca="false">IF(A43="",0,IFERROR(INDEX(Items!$E$5:$E$304,MATCH(D43,Items!$A$5:$A$304,0)),0))</f>
        <v>0</v>
      </c>
      <c r="N43" s="37" t="str">
        <f aca="false">IF(A43="","",IFERROR(INDEX(Customers!$E$5:$E$204,MATCH(C43,Customers!$A$5:$A$204,0)),"?"))</f>
        <v/>
      </c>
      <c r="O43" s="38" t="str">
        <f aca="false">IF(A43="","",IF(N43=Settings!$B$17,"No","Yes"))</f>
        <v/>
      </c>
      <c r="P43" s="35" t="n">
        <f aca="false">IF(O43="Yes",ROUND(L43*M43,2),0)</f>
        <v>0</v>
      </c>
      <c r="Q43" s="35" t="n">
        <f aca="false">IF(O43="No",ROUND(L43*M43/2,2),0)</f>
        <v>0</v>
      </c>
      <c r="R43" s="35" t="n">
        <f aca="false">Q43</f>
        <v>0</v>
      </c>
      <c r="S43" s="35" t="n">
        <f aca="false">L43+P43+Q43+R43</f>
        <v>0</v>
      </c>
      <c r="T43" s="34" t="str">
        <f aca="false">IF(A43="","",IFERROR(INDEX(Customers!$B$5:$B$204,MATCH(C43,Customers!$A$5:$A$204,0))&amp;"",""))</f>
        <v/>
      </c>
      <c r="U43" s="38" t="str">
        <f aca="false">IF(A43="","",IF(T43&lt;&gt;"","B2B",IF(AND(O43="Yes",SUMIF($A$5:$A$1004,A43,$L$5:$L$1004)+SUMIF($A$5:$A$1004,A43,$P$5:$P$1004)&gt;100000),"B2CL","B2CS")))</f>
        <v/>
      </c>
      <c r="V43" s="17" t="str">
        <f aca="false">IF(A43="","",TEXT(B43,"mmm-yyyy"))</f>
        <v/>
      </c>
    </row>
    <row r="44" customFormat="false" ht="15" hidden="false" customHeight="true" outlineLevel="0" collapsed="false">
      <c r="A44" s="24"/>
      <c r="B44" s="39"/>
      <c r="C44" s="24"/>
      <c r="D44" s="24"/>
      <c r="E44" s="40"/>
      <c r="F44" s="29"/>
      <c r="G44" s="30"/>
      <c r="H44" s="17" t="str">
        <f aca="false">IF(A44="","",A44&amp;"|"&amp;COUNTIF(A$5:A44,A44))</f>
        <v/>
      </c>
      <c r="I44" s="33" t="str">
        <f aca="false">IF(A44="","",IFERROR(INDEX(Items!$B$5:$B$304,MATCH(D44,Items!$A$5:$A$304,0))&amp;"",""))</f>
        <v/>
      </c>
      <c r="J44" s="34" t="str">
        <f aca="false">IF(A44="","",IFERROR(INDEX(Items!$C$5:$C$304,MATCH(D44,Items!$A$5:$A$304,0))&amp;"",""))</f>
        <v/>
      </c>
      <c r="K44" s="35" t="n">
        <f aca="false">IF(A44="",0,IF(ISNUMBER(F44),F44,IFERROR(INDEX(Items!$D$5:$D$304,MATCH(D44,Items!$A$5:$A$304,0)),0)))</f>
        <v>0</v>
      </c>
      <c r="L44" s="35" t="n">
        <f aca="false">ROUND(N(E44)*K44*(1-N(G44)),2)</f>
        <v>0</v>
      </c>
      <c r="M44" s="36" t="n">
        <f aca="false">IF(A44="",0,IFERROR(INDEX(Items!$E$5:$E$304,MATCH(D44,Items!$A$5:$A$304,0)),0))</f>
        <v>0</v>
      </c>
      <c r="N44" s="37" t="str">
        <f aca="false">IF(A44="","",IFERROR(INDEX(Customers!$E$5:$E$204,MATCH(C44,Customers!$A$5:$A$204,0)),"?"))</f>
        <v/>
      </c>
      <c r="O44" s="38" t="str">
        <f aca="false">IF(A44="","",IF(N44=Settings!$B$17,"No","Yes"))</f>
        <v/>
      </c>
      <c r="P44" s="35" t="n">
        <f aca="false">IF(O44="Yes",ROUND(L44*M44,2),0)</f>
        <v>0</v>
      </c>
      <c r="Q44" s="35" t="n">
        <f aca="false">IF(O44="No",ROUND(L44*M44/2,2),0)</f>
        <v>0</v>
      </c>
      <c r="R44" s="35" t="n">
        <f aca="false">Q44</f>
        <v>0</v>
      </c>
      <c r="S44" s="35" t="n">
        <f aca="false">L44+P44+Q44+R44</f>
        <v>0</v>
      </c>
      <c r="T44" s="34" t="str">
        <f aca="false">IF(A44="","",IFERROR(INDEX(Customers!$B$5:$B$204,MATCH(C44,Customers!$A$5:$A$204,0))&amp;"",""))</f>
        <v/>
      </c>
      <c r="U44" s="38" t="str">
        <f aca="false">IF(A44="","",IF(T44&lt;&gt;"","B2B",IF(AND(O44="Yes",SUMIF($A$5:$A$1004,A44,$L$5:$L$1004)+SUMIF($A$5:$A$1004,A44,$P$5:$P$1004)&gt;100000),"B2CL","B2CS")))</f>
        <v/>
      </c>
      <c r="V44" s="17" t="str">
        <f aca="false">IF(A44="","",TEXT(B44,"mmm-yyyy"))</f>
        <v/>
      </c>
    </row>
    <row r="45" customFormat="false" ht="15" hidden="false" customHeight="true" outlineLevel="0" collapsed="false">
      <c r="A45" s="24"/>
      <c r="B45" s="39"/>
      <c r="C45" s="24"/>
      <c r="D45" s="24"/>
      <c r="E45" s="40"/>
      <c r="F45" s="29"/>
      <c r="G45" s="30"/>
      <c r="H45" s="17" t="str">
        <f aca="false">IF(A45="","",A45&amp;"|"&amp;COUNTIF(A$5:A45,A45))</f>
        <v/>
      </c>
      <c r="I45" s="33" t="str">
        <f aca="false">IF(A45="","",IFERROR(INDEX(Items!$B$5:$B$304,MATCH(D45,Items!$A$5:$A$304,0))&amp;"",""))</f>
        <v/>
      </c>
      <c r="J45" s="34" t="str">
        <f aca="false">IF(A45="","",IFERROR(INDEX(Items!$C$5:$C$304,MATCH(D45,Items!$A$5:$A$304,0))&amp;"",""))</f>
        <v/>
      </c>
      <c r="K45" s="35" t="n">
        <f aca="false">IF(A45="",0,IF(ISNUMBER(F45),F45,IFERROR(INDEX(Items!$D$5:$D$304,MATCH(D45,Items!$A$5:$A$304,0)),0)))</f>
        <v>0</v>
      </c>
      <c r="L45" s="35" t="n">
        <f aca="false">ROUND(N(E45)*K45*(1-N(G45)),2)</f>
        <v>0</v>
      </c>
      <c r="M45" s="36" t="n">
        <f aca="false">IF(A45="",0,IFERROR(INDEX(Items!$E$5:$E$304,MATCH(D45,Items!$A$5:$A$304,0)),0))</f>
        <v>0</v>
      </c>
      <c r="N45" s="37" t="str">
        <f aca="false">IF(A45="","",IFERROR(INDEX(Customers!$E$5:$E$204,MATCH(C45,Customers!$A$5:$A$204,0)),"?"))</f>
        <v/>
      </c>
      <c r="O45" s="38" t="str">
        <f aca="false">IF(A45="","",IF(N45=Settings!$B$17,"No","Yes"))</f>
        <v/>
      </c>
      <c r="P45" s="35" t="n">
        <f aca="false">IF(O45="Yes",ROUND(L45*M45,2),0)</f>
        <v>0</v>
      </c>
      <c r="Q45" s="35" t="n">
        <f aca="false">IF(O45="No",ROUND(L45*M45/2,2),0)</f>
        <v>0</v>
      </c>
      <c r="R45" s="35" t="n">
        <f aca="false">Q45</f>
        <v>0</v>
      </c>
      <c r="S45" s="35" t="n">
        <f aca="false">L45+P45+Q45+R45</f>
        <v>0</v>
      </c>
      <c r="T45" s="34" t="str">
        <f aca="false">IF(A45="","",IFERROR(INDEX(Customers!$B$5:$B$204,MATCH(C45,Customers!$A$5:$A$204,0))&amp;"",""))</f>
        <v/>
      </c>
      <c r="U45" s="38" t="str">
        <f aca="false">IF(A45="","",IF(T45&lt;&gt;"","B2B",IF(AND(O45="Yes",SUMIF($A$5:$A$1004,A45,$L$5:$L$1004)+SUMIF($A$5:$A$1004,A45,$P$5:$P$1004)&gt;100000),"B2CL","B2CS")))</f>
        <v/>
      </c>
      <c r="V45" s="17" t="str">
        <f aca="false">IF(A45="","",TEXT(B45,"mmm-yyyy"))</f>
        <v/>
      </c>
    </row>
    <row r="46" customFormat="false" ht="15" hidden="false" customHeight="true" outlineLevel="0" collapsed="false">
      <c r="A46" s="24"/>
      <c r="B46" s="39"/>
      <c r="C46" s="24"/>
      <c r="D46" s="24"/>
      <c r="E46" s="40"/>
      <c r="F46" s="29"/>
      <c r="G46" s="30"/>
      <c r="H46" s="17" t="str">
        <f aca="false">IF(A46="","",A46&amp;"|"&amp;COUNTIF(A$5:A46,A46))</f>
        <v/>
      </c>
      <c r="I46" s="33" t="str">
        <f aca="false">IF(A46="","",IFERROR(INDEX(Items!$B$5:$B$304,MATCH(D46,Items!$A$5:$A$304,0))&amp;"",""))</f>
        <v/>
      </c>
      <c r="J46" s="34" t="str">
        <f aca="false">IF(A46="","",IFERROR(INDEX(Items!$C$5:$C$304,MATCH(D46,Items!$A$5:$A$304,0))&amp;"",""))</f>
        <v/>
      </c>
      <c r="K46" s="35" t="n">
        <f aca="false">IF(A46="",0,IF(ISNUMBER(F46),F46,IFERROR(INDEX(Items!$D$5:$D$304,MATCH(D46,Items!$A$5:$A$304,0)),0)))</f>
        <v>0</v>
      </c>
      <c r="L46" s="35" t="n">
        <f aca="false">ROUND(N(E46)*K46*(1-N(G46)),2)</f>
        <v>0</v>
      </c>
      <c r="M46" s="36" t="n">
        <f aca="false">IF(A46="",0,IFERROR(INDEX(Items!$E$5:$E$304,MATCH(D46,Items!$A$5:$A$304,0)),0))</f>
        <v>0</v>
      </c>
      <c r="N46" s="37" t="str">
        <f aca="false">IF(A46="","",IFERROR(INDEX(Customers!$E$5:$E$204,MATCH(C46,Customers!$A$5:$A$204,0)),"?"))</f>
        <v/>
      </c>
      <c r="O46" s="38" t="str">
        <f aca="false">IF(A46="","",IF(N46=Settings!$B$17,"No","Yes"))</f>
        <v/>
      </c>
      <c r="P46" s="35" t="n">
        <f aca="false">IF(O46="Yes",ROUND(L46*M46,2),0)</f>
        <v>0</v>
      </c>
      <c r="Q46" s="35" t="n">
        <f aca="false">IF(O46="No",ROUND(L46*M46/2,2),0)</f>
        <v>0</v>
      </c>
      <c r="R46" s="35" t="n">
        <f aca="false">Q46</f>
        <v>0</v>
      </c>
      <c r="S46" s="35" t="n">
        <f aca="false">L46+P46+Q46+R46</f>
        <v>0</v>
      </c>
      <c r="T46" s="34" t="str">
        <f aca="false">IF(A46="","",IFERROR(INDEX(Customers!$B$5:$B$204,MATCH(C46,Customers!$A$5:$A$204,0))&amp;"",""))</f>
        <v/>
      </c>
      <c r="U46" s="38" t="str">
        <f aca="false">IF(A46="","",IF(T46&lt;&gt;"","B2B",IF(AND(O46="Yes",SUMIF($A$5:$A$1004,A46,$L$5:$L$1004)+SUMIF($A$5:$A$1004,A46,$P$5:$P$1004)&gt;100000),"B2CL","B2CS")))</f>
        <v/>
      </c>
      <c r="V46" s="17" t="str">
        <f aca="false">IF(A46="","",TEXT(B46,"mmm-yyyy"))</f>
        <v/>
      </c>
    </row>
    <row r="47" customFormat="false" ht="15" hidden="false" customHeight="true" outlineLevel="0" collapsed="false">
      <c r="A47" s="24"/>
      <c r="B47" s="39"/>
      <c r="C47" s="24"/>
      <c r="D47" s="24"/>
      <c r="E47" s="40"/>
      <c r="F47" s="29"/>
      <c r="G47" s="30"/>
      <c r="H47" s="17" t="str">
        <f aca="false">IF(A47="","",A47&amp;"|"&amp;COUNTIF(A$5:A47,A47))</f>
        <v/>
      </c>
      <c r="I47" s="33" t="str">
        <f aca="false">IF(A47="","",IFERROR(INDEX(Items!$B$5:$B$304,MATCH(D47,Items!$A$5:$A$304,0))&amp;"",""))</f>
        <v/>
      </c>
      <c r="J47" s="34" t="str">
        <f aca="false">IF(A47="","",IFERROR(INDEX(Items!$C$5:$C$304,MATCH(D47,Items!$A$5:$A$304,0))&amp;"",""))</f>
        <v/>
      </c>
      <c r="K47" s="35" t="n">
        <f aca="false">IF(A47="",0,IF(ISNUMBER(F47),F47,IFERROR(INDEX(Items!$D$5:$D$304,MATCH(D47,Items!$A$5:$A$304,0)),0)))</f>
        <v>0</v>
      </c>
      <c r="L47" s="35" t="n">
        <f aca="false">ROUND(N(E47)*K47*(1-N(G47)),2)</f>
        <v>0</v>
      </c>
      <c r="M47" s="36" t="n">
        <f aca="false">IF(A47="",0,IFERROR(INDEX(Items!$E$5:$E$304,MATCH(D47,Items!$A$5:$A$304,0)),0))</f>
        <v>0</v>
      </c>
      <c r="N47" s="37" t="str">
        <f aca="false">IF(A47="","",IFERROR(INDEX(Customers!$E$5:$E$204,MATCH(C47,Customers!$A$5:$A$204,0)),"?"))</f>
        <v/>
      </c>
      <c r="O47" s="38" t="str">
        <f aca="false">IF(A47="","",IF(N47=Settings!$B$17,"No","Yes"))</f>
        <v/>
      </c>
      <c r="P47" s="35" t="n">
        <f aca="false">IF(O47="Yes",ROUND(L47*M47,2),0)</f>
        <v>0</v>
      </c>
      <c r="Q47" s="35" t="n">
        <f aca="false">IF(O47="No",ROUND(L47*M47/2,2),0)</f>
        <v>0</v>
      </c>
      <c r="R47" s="35" t="n">
        <f aca="false">Q47</f>
        <v>0</v>
      </c>
      <c r="S47" s="35" t="n">
        <f aca="false">L47+P47+Q47+R47</f>
        <v>0</v>
      </c>
      <c r="T47" s="34" t="str">
        <f aca="false">IF(A47="","",IFERROR(INDEX(Customers!$B$5:$B$204,MATCH(C47,Customers!$A$5:$A$204,0))&amp;"",""))</f>
        <v/>
      </c>
      <c r="U47" s="38" t="str">
        <f aca="false">IF(A47="","",IF(T47&lt;&gt;"","B2B",IF(AND(O47="Yes",SUMIF($A$5:$A$1004,A47,$L$5:$L$1004)+SUMIF($A$5:$A$1004,A47,$P$5:$P$1004)&gt;100000),"B2CL","B2CS")))</f>
        <v/>
      </c>
      <c r="V47" s="17" t="str">
        <f aca="false">IF(A47="","",TEXT(B47,"mmm-yyyy"))</f>
        <v/>
      </c>
    </row>
    <row r="48" customFormat="false" ht="15" hidden="false" customHeight="true" outlineLevel="0" collapsed="false">
      <c r="A48" s="24"/>
      <c r="B48" s="39"/>
      <c r="C48" s="24"/>
      <c r="D48" s="24"/>
      <c r="E48" s="40"/>
      <c r="F48" s="29"/>
      <c r="G48" s="30"/>
      <c r="H48" s="17" t="str">
        <f aca="false">IF(A48="","",A48&amp;"|"&amp;COUNTIF(A$5:A48,A48))</f>
        <v/>
      </c>
      <c r="I48" s="33" t="str">
        <f aca="false">IF(A48="","",IFERROR(INDEX(Items!$B$5:$B$304,MATCH(D48,Items!$A$5:$A$304,0))&amp;"",""))</f>
        <v/>
      </c>
      <c r="J48" s="34" t="str">
        <f aca="false">IF(A48="","",IFERROR(INDEX(Items!$C$5:$C$304,MATCH(D48,Items!$A$5:$A$304,0))&amp;"",""))</f>
        <v/>
      </c>
      <c r="K48" s="35" t="n">
        <f aca="false">IF(A48="",0,IF(ISNUMBER(F48),F48,IFERROR(INDEX(Items!$D$5:$D$304,MATCH(D48,Items!$A$5:$A$304,0)),0)))</f>
        <v>0</v>
      </c>
      <c r="L48" s="35" t="n">
        <f aca="false">ROUND(N(E48)*K48*(1-N(G48)),2)</f>
        <v>0</v>
      </c>
      <c r="M48" s="36" t="n">
        <f aca="false">IF(A48="",0,IFERROR(INDEX(Items!$E$5:$E$304,MATCH(D48,Items!$A$5:$A$304,0)),0))</f>
        <v>0</v>
      </c>
      <c r="N48" s="37" t="str">
        <f aca="false">IF(A48="","",IFERROR(INDEX(Customers!$E$5:$E$204,MATCH(C48,Customers!$A$5:$A$204,0)),"?"))</f>
        <v/>
      </c>
      <c r="O48" s="38" t="str">
        <f aca="false">IF(A48="","",IF(N48=Settings!$B$17,"No","Yes"))</f>
        <v/>
      </c>
      <c r="P48" s="35" t="n">
        <f aca="false">IF(O48="Yes",ROUND(L48*M48,2),0)</f>
        <v>0</v>
      </c>
      <c r="Q48" s="35" t="n">
        <f aca="false">IF(O48="No",ROUND(L48*M48/2,2),0)</f>
        <v>0</v>
      </c>
      <c r="R48" s="35" t="n">
        <f aca="false">Q48</f>
        <v>0</v>
      </c>
      <c r="S48" s="35" t="n">
        <f aca="false">L48+P48+Q48+R48</f>
        <v>0</v>
      </c>
      <c r="T48" s="34" t="str">
        <f aca="false">IF(A48="","",IFERROR(INDEX(Customers!$B$5:$B$204,MATCH(C48,Customers!$A$5:$A$204,0))&amp;"",""))</f>
        <v/>
      </c>
      <c r="U48" s="38" t="str">
        <f aca="false">IF(A48="","",IF(T48&lt;&gt;"","B2B",IF(AND(O48="Yes",SUMIF($A$5:$A$1004,A48,$L$5:$L$1004)+SUMIF($A$5:$A$1004,A48,$P$5:$P$1004)&gt;100000),"B2CL","B2CS")))</f>
        <v/>
      </c>
      <c r="V48" s="17" t="str">
        <f aca="false">IF(A48="","",TEXT(B48,"mmm-yyyy"))</f>
        <v/>
      </c>
    </row>
    <row r="49" customFormat="false" ht="15" hidden="false" customHeight="true" outlineLevel="0" collapsed="false">
      <c r="A49" s="24"/>
      <c r="B49" s="39"/>
      <c r="C49" s="24"/>
      <c r="D49" s="24"/>
      <c r="E49" s="40"/>
      <c r="F49" s="29"/>
      <c r="G49" s="30"/>
      <c r="H49" s="17" t="str">
        <f aca="false">IF(A49="","",A49&amp;"|"&amp;COUNTIF(A$5:A49,A49))</f>
        <v/>
      </c>
      <c r="I49" s="33" t="str">
        <f aca="false">IF(A49="","",IFERROR(INDEX(Items!$B$5:$B$304,MATCH(D49,Items!$A$5:$A$304,0))&amp;"",""))</f>
        <v/>
      </c>
      <c r="J49" s="34" t="str">
        <f aca="false">IF(A49="","",IFERROR(INDEX(Items!$C$5:$C$304,MATCH(D49,Items!$A$5:$A$304,0))&amp;"",""))</f>
        <v/>
      </c>
      <c r="K49" s="35" t="n">
        <f aca="false">IF(A49="",0,IF(ISNUMBER(F49),F49,IFERROR(INDEX(Items!$D$5:$D$304,MATCH(D49,Items!$A$5:$A$304,0)),0)))</f>
        <v>0</v>
      </c>
      <c r="L49" s="35" t="n">
        <f aca="false">ROUND(N(E49)*K49*(1-N(G49)),2)</f>
        <v>0</v>
      </c>
      <c r="M49" s="36" t="n">
        <f aca="false">IF(A49="",0,IFERROR(INDEX(Items!$E$5:$E$304,MATCH(D49,Items!$A$5:$A$304,0)),0))</f>
        <v>0</v>
      </c>
      <c r="N49" s="37" t="str">
        <f aca="false">IF(A49="","",IFERROR(INDEX(Customers!$E$5:$E$204,MATCH(C49,Customers!$A$5:$A$204,0)),"?"))</f>
        <v/>
      </c>
      <c r="O49" s="38" t="str">
        <f aca="false">IF(A49="","",IF(N49=Settings!$B$17,"No","Yes"))</f>
        <v/>
      </c>
      <c r="P49" s="35" t="n">
        <f aca="false">IF(O49="Yes",ROUND(L49*M49,2),0)</f>
        <v>0</v>
      </c>
      <c r="Q49" s="35" t="n">
        <f aca="false">IF(O49="No",ROUND(L49*M49/2,2),0)</f>
        <v>0</v>
      </c>
      <c r="R49" s="35" t="n">
        <f aca="false">Q49</f>
        <v>0</v>
      </c>
      <c r="S49" s="35" t="n">
        <f aca="false">L49+P49+Q49+R49</f>
        <v>0</v>
      </c>
      <c r="T49" s="34" t="str">
        <f aca="false">IF(A49="","",IFERROR(INDEX(Customers!$B$5:$B$204,MATCH(C49,Customers!$A$5:$A$204,0))&amp;"",""))</f>
        <v/>
      </c>
      <c r="U49" s="38" t="str">
        <f aca="false">IF(A49="","",IF(T49&lt;&gt;"","B2B",IF(AND(O49="Yes",SUMIF($A$5:$A$1004,A49,$L$5:$L$1004)+SUMIF($A$5:$A$1004,A49,$P$5:$P$1004)&gt;100000),"B2CL","B2CS")))</f>
        <v/>
      </c>
      <c r="V49" s="17" t="str">
        <f aca="false">IF(A49="","",TEXT(B49,"mmm-yyyy"))</f>
        <v/>
      </c>
    </row>
    <row r="50" customFormat="false" ht="15" hidden="false" customHeight="true" outlineLevel="0" collapsed="false">
      <c r="A50" s="24"/>
      <c r="B50" s="39"/>
      <c r="C50" s="24"/>
      <c r="D50" s="24"/>
      <c r="E50" s="40"/>
      <c r="F50" s="29"/>
      <c r="G50" s="30"/>
      <c r="H50" s="17" t="str">
        <f aca="false">IF(A50="","",A50&amp;"|"&amp;COUNTIF(A$5:A50,A50))</f>
        <v/>
      </c>
      <c r="I50" s="33" t="str">
        <f aca="false">IF(A50="","",IFERROR(INDEX(Items!$B$5:$B$304,MATCH(D50,Items!$A$5:$A$304,0))&amp;"",""))</f>
        <v/>
      </c>
      <c r="J50" s="34" t="str">
        <f aca="false">IF(A50="","",IFERROR(INDEX(Items!$C$5:$C$304,MATCH(D50,Items!$A$5:$A$304,0))&amp;"",""))</f>
        <v/>
      </c>
      <c r="K50" s="35" t="n">
        <f aca="false">IF(A50="",0,IF(ISNUMBER(F50),F50,IFERROR(INDEX(Items!$D$5:$D$304,MATCH(D50,Items!$A$5:$A$304,0)),0)))</f>
        <v>0</v>
      </c>
      <c r="L50" s="35" t="n">
        <f aca="false">ROUND(N(E50)*K50*(1-N(G50)),2)</f>
        <v>0</v>
      </c>
      <c r="M50" s="36" t="n">
        <f aca="false">IF(A50="",0,IFERROR(INDEX(Items!$E$5:$E$304,MATCH(D50,Items!$A$5:$A$304,0)),0))</f>
        <v>0</v>
      </c>
      <c r="N50" s="37" t="str">
        <f aca="false">IF(A50="","",IFERROR(INDEX(Customers!$E$5:$E$204,MATCH(C50,Customers!$A$5:$A$204,0)),"?"))</f>
        <v/>
      </c>
      <c r="O50" s="38" t="str">
        <f aca="false">IF(A50="","",IF(N50=Settings!$B$17,"No","Yes"))</f>
        <v/>
      </c>
      <c r="P50" s="35" t="n">
        <f aca="false">IF(O50="Yes",ROUND(L50*M50,2),0)</f>
        <v>0</v>
      </c>
      <c r="Q50" s="35" t="n">
        <f aca="false">IF(O50="No",ROUND(L50*M50/2,2),0)</f>
        <v>0</v>
      </c>
      <c r="R50" s="35" t="n">
        <f aca="false">Q50</f>
        <v>0</v>
      </c>
      <c r="S50" s="35" t="n">
        <f aca="false">L50+P50+Q50+R50</f>
        <v>0</v>
      </c>
      <c r="T50" s="34" t="str">
        <f aca="false">IF(A50="","",IFERROR(INDEX(Customers!$B$5:$B$204,MATCH(C50,Customers!$A$5:$A$204,0))&amp;"",""))</f>
        <v/>
      </c>
      <c r="U50" s="38" t="str">
        <f aca="false">IF(A50="","",IF(T50&lt;&gt;"","B2B",IF(AND(O50="Yes",SUMIF($A$5:$A$1004,A50,$L$5:$L$1004)+SUMIF($A$5:$A$1004,A50,$P$5:$P$1004)&gt;100000),"B2CL","B2CS")))</f>
        <v/>
      </c>
      <c r="V50" s="17" t="str">
        <f aca="false">IF(A50="","",TEXT(B50,"mmm-yyyy"))</f>
        <v/>
      </c>
    </row>
    <row r="51" customFormat="false" ht="15" hidden="false" customHeight="true" outlineLevel="0" collapsed="false">
      <c r="A51" s="24"/>
      <c r="B51" s="39"/>
      <c r="C51" s="24"/>
      <c r="D51" s="24"/>
      <c r="E51" s="40"/>
      <c r="F51" s="29"/>
      <c r="G51" s="30"/>
      <c r="H51" s="17" t="str">
        <f aca="false">IF(A51="","",A51&amp;"|"&amp;COUNTIF(A$5:A51,A51))</f>
        <v/>
      </c>
      <c r="I51" s="33" t="str">
        <f aca="false">IF(A51="","",IFERROR(INDEX(Items!$B$5:$B$304,MATCH(D51,Items!$A$5:$A$304,0))&amp;"",""))</f>
        <v/>
      </c>
      <c r="J51" s="34" t="str">
        <f aca="false">IF(A51="","",IFERROR(INDEX(Items!$C$5:$C$304,MATCH(D51,Items!$A$5:$A$304,0))&amp;"",""))</f>
        <v/>
      </c>
      <c r="K51" s="35" t="n">
        <f aca="false">IF(A51="",0,IF(ISNUMBER(F51),F51,IFERROR(INDEX(Items!$D$5:$D$304,MATCH(D51,Items!$A$5:$A$304,0)),0)))</f>
        <v>0</v>
      </c>
      <c r="L51" s="35" t="n">
        <f aca="false">ROUND(N(E51)*K51*(1-N(G51)),2)</f>
        <v>0</v>
      </c>
      <c r="M51" s="36" t="n">
        <f aca="false">IF(A51="",0,IFERROR(INDEX(Items!$E$5:$E$304,MATCH(D51,Items!$A$5:$A$304,0)),0))</f>
        <v>0</v>
      </c>
      <c r="N51" s="37" t="str">
        <f aca="false">IF(A51="","",IFERROR(INDEX(Customers!$E$5:$E$204,MATCH(C51,Customers!$A$5:$A$204,0)),"?"))</f>
        <v/>
      </c>
      <c r="O51" s="38" t="str">
        <f aca="false">IF(A51="","",IF(N51=Settings!$B$17,"No","Yes"))</f>
        <v/>
      </c>
      <c r="P51" s="35" t="n">
        <f aca="false">IF(O51="Yes",ROUND(L51*M51,2),0)</f>
        <v>0</v>
      </c>
      <c r="Q51" s="35" t="n">
        <f aca="false">IF(O51="No",ROUND(L51*M51/2,2),0)</f>
        <v>0</v>
      </c>
      <c r="R51" s="35" t="n">
        <f aca="false">Q51</f>
        <v>0</v>
      </c>
      <c r="S51" s="35" t="n">
        <f aca="false">L51+P51+Q51+R51</f>
        <v>0</v>
      </c>
      <c r="T51" s="34" t="str">
        <f aca="false">IF(A51="","",IFERROR(INDEX(Customers!$B$5:$B$204,MATCH(C51,Customers!$A$5:$A$204,0))&amp;"",""))</f>
        <v/>
      </c>
      <c r="U51" s="38" t="str">
        <f aca="false">IF(A51="","",IF(T51&lt;&gt;"","B2B",IF(AND(O51="Yes",SUMIF($A$5:$A$1004,A51,$L$5:$L$1004)+SUMIF($A$5:$A$1004,A51,$P$5:$P$1004)&gt;100000),"B2CL","B2CS")))</f>
        <v/>
      </c>
      <c r="V51" s="17" t="str">
        <f aca="false">IF(A51="","",TEXT(B51,"mmm-yyyy"))</f>
        <v/>
      </c>
    </row>
    <row r="52" customFormat="false" ht="15" hidden="false" customHeight="true" outlineLevel="0" collapsed="false">
      <c r="A52" s="24"/>
      <c r="B52" s="39"/>
      <c r="C52" s="24"/>
      <c r="D52" s="24"/>
      <c r="E52" s="40"/>
      <c r="F52" s="29"/>
      <c r="G52" s="30"/>
      <c r="H52" s="17" t="str">
        <f aca="false">IF(A52="","",A52&amp;"|"&amp;COUNTIF(A$5:A52,A52))</f>
        <v/>
      </c>
      <c r="I52" s="33" t="str">
        <f aca="false">IF(A52="","",IFERROR(INDEX(Items!$B$5:$B$304,MATCH(D52,Items!$A$5:$A$304,0))&amp;"",""))</f>
        <v/>
      </c>
      <c r="J52" s="34" t="str">
        <f aca="false">IF(A52="","",IFERROR(INDEX(Items!$C$5:$C$304,MATCH(D52,Items!$A$5:$A$304,0))&amp;"",""))</f>
        <v/>
      </c>
      <c r="K52" s="35" t="n">
        <f aca="false">IF(A52="",0,IF(ISNUMBER(F52),F52,IFERROR(INDEX(Items!$D$5:$D$304,MATCH(D52,Items!$A$5:$A$304,0)),0)))</f>
        <v>0</v>
      </c>
      <c r="L52" s="35" t="n">
        <f aca="false">ROUND(N(E52)*K52*(1-N(G52)),2)</f>
        <v>0</v>
      </c>
      <c r="M52" s="36" t="n">
        <f aca="false">IF(A52="",0,IFERROR(INDEX(Items!$E$5:$E$304,MATCH(D52,Items!$A$5:$A$304,0)),0))</f>
        <v>0</v>
      </c>
      <c r="N52" s="37" t="str">
        <f aca="false">IF(A52="","",IFERROR(INDEX(Customers!$E$5:$E$204,MATCH(C52,Customers!$A$5:$A$204,0)),"?"))</f>
        <v/>
      </c>
      <c r="O52" s="38" t="str">
        <f aca="false">IF(A52="","",IF(N52=Settings!$B$17,"No","Yes"))</f>
        <v/>
      </c>
      <c r="P52" s="35" t="n">
        <f aca="false">IF(O52="Yes",ROUND(L52*M52,2),0)</f>
        <v>0</v>
      </c>
      <c r="Q52" s="35" t="n">
        <f aca="false">IF(O52="No",ROUND(L52*M52/2,2),0)</f>
        <v>0</v>
      </c>
      <c r="R52" s="35" t="n">
        <f aca="false">Q52</f>
        <v>0</v>
      </c>
      <c r="S52" s="35" t="n">
        <f aca="false">L52+P52+Q52+R52</f>
        <v>0</v>
      </c>
      <c r="T52" s="34" t="str">
        <f aca="false">IF(A52="","",IFERROR(INDEX(Customers!$B$5:$B$204,MATCH(C52,Customers!$A$5:$A$204,0))&amp;"",""))</f>
        <v/>
      </c>
      <c r="U52" s="38" t="str">
        <f aca="false">IF(A52="","",IF(T52&lt;&gt;"","B2B",IF(AND(O52="Yes",SUMIF($A$5:$A$1004,A52,$L$5:$L$1004)+SUMIF($A$5:$A$1004,A52,$P$5:$P$1004)&gt;100000),"B2CL","B2CS")))</f>
        <v/>
      </c>
      <c r="V52" s="17" t="str">
        <f aca="false">IF(A52="","",TEXT(B52,"mmm-yyyy"))</f>
        <v/>
      </c>
    </row>
    <row r="53" customFormat="false" ht="15" hidden="false" customHeight="true" outlineLevel="0" collapsed="false">
      <c r="A53" s="24"/>
      <c r="B53" s="39"/>
      <c r="C53" s="24"/>
      <c r="D53" s="24"/>
      <c r="E53" s="40"/>
      <c r="F53" s="29"/>
      <c r="G53" s="30"/>
      <c r="H53" s="17" t="str">
        <f aca="false">IF(A53="","",A53&amp;"|"&amp;COUNTIF(A$5:A53,A53))</f>
        <v/>
      </c>
      <c r="I53" s="33" t="str">
        <f aca="false">IF(A53="","",IFERROR(INDEX(Items!$B$5:$B$304,MATCH(D53,Items!$A$5:$A$304,0))&amp;"",""))</f>
        <v/>
      </c>
      <c r="J53" s="34" t="str">
        <f aca="false">IF(A53="","",IFERROR(INDEX(Items!$C$5:$C$304,MATCH(D53,Items!$A$5:$A$304,0))&amp;"",""))</f>
        <v/>
      </c>
      <c r="K53" s="35" t="n">
        <f aca="false">IF(A53="",0,IF(ISNUMBER(F53),F53,IFERROR(INDEX(Items!$D$5:$D$304,MATCH(D53,Items!$A$5:$A$304,0)),0)))</f>
        <v>0</v>
      </c>
      <c r="L53" s="35" t="n">
        <f aca="false">ROUND(N(E53)*K53*(1-N(G53)),2)</f>
        <v>0</v>
      </c>
      <c r="M53" s="36" t="n">
        <f aca="false">IF(A53="",0,IFERROR(INDEX(Items!$E$5:$E$304,MATCH(D53,Items!$A$5:$A$304,0)),0))</f>
        <v>0</v>
      </c>
      <c r="N53" s="37" t="str">
        <f aca="false">IF(A53="","",IFERROR(INDEX(Customers!$E$5:$E$204,MATCH(C53,Customers!$A$5:$A$204,0)),"?"))</f>
        <v/>
      </c>
      <c r="O53" s="38" t="str">
        <f aca="false">IF(A53="","",IF(N53=Settings!$B$17,"No","Yes"))</f>
        <v/>
      </c>
      <c r="P53" s="35" t="n">
        <f aca="false">IF(O53="Yes",ROUND(L53*M53,2),0)</f>
        <v>0</v>
      </c>
      <c r="Q53" s="35" t="n">
        <f aca="false">IF(O53="No",ROUND(L53*M53/2,2),0)</f>
        <v>0</v>
      </c>
      <c r="R53" s="35" t="n">
        <f aca="false">Q53</f>
        <v>0</v>
      </c>
      <c r="S53" s="35" t="n">
        <f aca="false">L53+P53+Q53+R53</f>
        <v>0</v>
      </c>
      <c r="T53" s="34" t="str">
        <f aca="false">IF(A53="","",IFERROR(INDEX(Customers!$B$5:$B$204,MATCH(C53,Customers!$A$5:$A$204,0))&amp;"",""))</f>
        <v/>
      </c>
      <c r="U53" s="38" t="str">
        <f aca="false">IF(A53="","",IF(T53&lt;&gt;"","B2B",IF(AND(O53="Yes",SUMIF($A$5:$A$1004,A53,$L$5:$L$1004)+SUMIF($A$5:$A$1004,A53,$P$5:$P$1004)&gt;100000),"B2CL","B2CS")))</f>
        <v/>
      </c>
      <c r="V53" s="17" t="str">
        <f aca="false">IF(A53="","",TEXT(B53,"mmm-yyyy"))</f>
        <v/>
      </c>
    </row>
    <row r="54" customFormat="false" ht="15" hidden="false" customHeight="true" outlineLevel="0" collapsed="false">
      <c r="A54" s="24"/>
      <c r="B54" s="39"/>
      <c r="C54" s="24"/>
      <c r="D54" s="24"/>
      <c r="E54" s="40"/>
      <c r="F54" s="29"/>
      <c r="G54" s="30"/>
      <c r="H54" s="17" t="str">
        <f aca="false">IF(A54="","",A54&amp;"|"&amp;COUNTIF(A$5:A54,A54))</f>
        <v/>
      </c>
      <c r="I54" s="33" t="str">
        <f aca="false">IF(A54="","",IFERROR(INDEX(Items!$B$5:$B$304,MATCH(D54,Items!$A$5:$A$304,0))&amp;"",""))</f>
        <v/>
      </c>
      <c r="J54" s="34" t="str">
        <f aca="false">IF(A54="","",IFERROR(INDEX(Items!$C$5:$C$304,MATCH(D54,Items!$A$5:$A$304,0))&amp;"",""))</f>
        <v/>
      </c>
      <c r="K54" s="35" t="n">
        <f aca="false">IF(A54="",0,IF(ISNUMBER(F54),F54,IFERROR(INDEX(Items!$D$5:$D$304,MATCH(D54,Items!$A$5:$A$304,0)),0)))</f>
        <v>0</v>
      </c>
      <c r="L54" s="35" t="n">
        <f aca="false">ROUND(N(E54)*K54*(1-N(G54)),2)</f>
        <v>0</v>
      </c>
      <c r="M54" s="36" t="n">
        <f aca="false">IF(A54="",0,IFERROR(INDEX(Items!$E$5:$E$304,MATCH(D54,Items!$A$5:$A$304,0)),0))</f>
        <v>0</v>
      </c>
      <c r="N54" s="37" t="str">
        <f aca="false">IF(A54="","",IFERROR(INDEX(Customers!$E$5:$E$204,MATCH(C54,Customers!$A$5:$A$204,0)),"?"))</f>
        <v/>
      </c>
      <c r="O54" s="38" t="str">
        <f aca="false">IF(A54="","",IF(N54=Settings!$B$17,"No","Yes"))</f>
        <v/>
      </c>
      <c r="P54" s="35" t="n">
        <f aca="false">IF(O54="Yes",ROUND(L54*M54,2),0)</f>
        <v>0</v>
      </c>
      <c r="Q54" s="35" t="n">
        <f aca="false">IF(O54="No",ROUND(L54*M54/2,2),0)</f>
        <v>0</v>
      </c>
      <c r="R54" s="35" t="n">
        <f aca="false">Q54</f>
        <v>0</v>
      </c>
      <c r="S54" s="35" t="n">
        <f aca="false">L54+P54+Q54+R54</f>
        <v>0</v>
      </c>
      <c r="T54" s="34" t="str">
        <f aca="false">IF(A54="","",IFERROR(INDEX(Customers!$B$5:$B$204,MATCH(C54,Customers!$A$5:$A$204,0))&amp;"",""))</f>
        <v/>
      </c>
      <c r="U54" s="38" t="str">
        <f aca="false">IF(A54="","",IF(T54&lt;&gt;"","B2B",IF(AND(O54="Yes",SUMIF($A$5:$A$1004,A54,$L$5:$L$1004)+SUMIF($A$5:$A$1004,A54,$P$5:$P$1004)&gt;100000),"B2CL","B2CS")))</f>
        <v/>
      </c>
      <c r="V54" s="17" t="str">
        <f aca="false">IF(A54="","",TEXT(B54,"mmm-yyyy"))</f>
        <v/>
      </c>
    </row>
    <row r="55" customFormat="false" ht="15" hidden="false" customHeight="true" outlineLevel="0" collapsed="false">
      <c r="A55" s="24"/>
      <c r="B55" s="39"/>
      <c r="C55" s="24"/>
      <c r="D55" s="24"/>
      <c r="E55" s="40"/>
      <c r="F55" s="29"/>
      <c r="G55" s="30"/>
      <c r="H55" s="17" t="str">
        <f aca="false">IF(A55="","",A55&amp;"|"&amp;COUNTIF(A$5:A55,A55))</f>
        <v/>
      </c>
      <c r="I55" s="33" t="str">
        <f aca="false">IF(A55="","",IFERROR(INDEX(Items!$B$5:$B$304,MATCH(D55,Items!$A$5:$A$304,0))&amp;"",""))</f>
        <v/>
      </c>
      <c r="J55" s="34" t="str">
        <f aca="false">IF(A55="","",IFERROR(INDEX(Items!$C$5:$C$304,MATCH(D55,Items!$A$5:$A$304,0))&amp;"",""))</f>
        <v/>
      </c>
      <c r="K55" s="35" t="n">
        <f aca="false">IF(A55="",0,IF(ISNUMBER(F55),F55,IFERROR(INDEX(Items!$D$5:$D$304,MATCH(D55,Items!$A$5:$A$304,0)),0)))</f>
        <v>0</v>
      </c>
      <c r="L55" s="35" t="n">
        <f aca="false">ROUND(N(E55)*K55*(1-N(G55)),2)</f>
        <v>0</v>
      </c>
      <c r="M55" s="36" t="n">
        <f aca="false">IF(A55="",0,IFERROR(INDEX(Items!$E$5:$E$304,MATCH(D55,Items!$A$5:$A$304,0)),0))</f>
        <v>0</v>
      </c>
      <c r="N55" s="37" t="str">
        <f aca="false">IF(A55="","",IFERROR(INDEX(Customers!$E$5:$E$204,MATCH(C55,Customers!$A$5:$A$204,0)),"?"))</f>
        <v/>
      </c>
      <c r="O55" s="38" t="str">
        <f aca="false">IF(A55="","",IF(N55=Settings!$B$17,"No","Yes"))</f>
        <v/>
      </c>
      <c r="P55" s="35" t="n">
        <f aca="false">IF(O55="Yes",ROUND(L55*M55,2),0)</f>
        <v>0</v>
      </c>
      <c r="Q55" s="35" t="n">
        <f aca="false">IF(O55="No",ROUND(L55*M55/2,2),0)</f>
        <v>0</v>
      </c>
      <c r="R55" s="35" t="n">
        <f aca="false">Q55</f>
        <v>0</v>
      </c>
      <c r="S55" s="35" t="n">
        <f aca="false">L55+P55+Q55+R55</f>
        <v>0</v>
      </c>
      <c r="T55" s="34" t="str">
        <f aca="false">IF(A55="","",IFERROR(INDEX(Customers!$B$5:$B$204,MATCH(C55,Customers!$A$5:$A$204,0))&amp;"",""))</f>
        <v/>
      </c>
      <c r="U55" s="38" t="str">
        <f aca="false">IF(A55="","",IF(T55&lt;&gt;"","B2B",IF(AND(O55="Yes",SUMIF($A$5:$A$1004,A55,$L$5:$L$1004)+SUMIF($A$5:$A$1004,A55,$P$5:$P$1004)&gt;100000),"B2CL","B2CS")))</f>
        <v/>
      </c>
      <c r="V55" s="17" t="str">
        <f aca="false">IF(A55="","",TEXT(B55,"mmm-yyyy"))</f>
        <v/>
      </c>
    </row>
    <row r="56" customFormat="false" ht="15" hidden="false" customHeight="true" outlineLevel="0" collapsed="false">
      <c r="A56" s="24"/>
      <c r="B56" s="39"/>
      <c r="C56" s="24"/>
      <c r="D56" s="24"/>
      <c r="E56" s="40"/>
      <c r="F56" s="29"/>
      <c r="G56" s="30"/>
      <c r="H56" s="17" t="str">
        <f aca="false">IF(A56="","",A56&amp;"|"&amp;COUNTIF(A$5:A56,A56))</f>
        <v/>
      </c>
      <c r="I56" s="33" t="str">
        <f aca="false">IF(A56="","",IFERROR(INDEX(Items!$B$5:$B$304,MATCH(D56,Items!$A$5:$A$304,0))&amp;"",""))</f>
        <v/>
      </c>
      <c r="J56" s="34" t="str">
        <f aca="false">IF(A56="","",IFERROR(INDEX(Items!$C$5:$C$304,MATCH(D56,Items!$A$5:$A$304,0))&amp;"",""))</f>
        <v/>
      </c>
      <c r="K56" s="35" t="n">
        <f aca="false">IF(A56="",0,IF(ISNUMBER(F56),F56,IFERROR(INDEX(Items!$D$5:$D$304,MATCH(D56,Items!$A$5:$A$304,0)),0)))</f>
        <v>0</v>
      </c>
      <c r="L56" s="35" t="n">
        <f aca="false">ROUND(N(E56)*K56*(1-N(G56)),2)</f>
        <v>0</v>
      </c>
      <c r="M56" s="36" t="n">
        <f aca="false">IF(A56="",0,IFERROR(INDEX(Items!$E$5:$E$304,MATCH(D56,Items!$A$5:$A$304,0)),0))</f>
        <v>0</v>
      </c>
      <c r="N56" s="37" t="str">
        <f aca="false">IF(A56="","",IFERROR(INDEX(Customers!$E$5:$E$204,MATCH(C56,Customers!$A$5:$A$204,0)),"?"))</f>
        <v/>
      </c>
      <c r="O56" s="38" t="str">
        <f aca="false">IF(A56="","",IF(N56=Settings!$B$17,"No","Yes"))</f>
        <v/>
      </c>
      <c r="P56" s="35" t="n">
        <f aca="false">IF(O56="Yes",ROUND(L56*M56,2),0)</f>
        <v>0</v>
      </c>
      <c r="Q56" s="35" t="n">
        <f aca="false">IF(O56="No",ROUND(L56*M56/2,2),0)</f>
        <v>0</v>
      </c>
      <c r="R56" s="35" t="n">
        <f aca="false">Q56</f>
        <v>0</v>
      </c>
      <c r="S56" s="35" t="n">
        <f aca="false">L56+P56+Q56+R56</f>
        <v>0</v>
      </c>
      <c r="T56" s="34" t="str">
        <f aca="false">IF(A56="","",IFERROR(INDEX(Customers!$B$5:$B$204,MATCH(C56,Customers!$A$5:$A$204,0))&amp;"",""))</f>
        <v/>
      </c>
      <c r="U56" s="38" t="str">
        <f aca="false">IF(A56="","",IF(T56&lt;&gt;"","B2B",IF(AND(O56="Yes",SUMIF($A$5:$A$1004,A56,$L$5:$L$1004)+SUMIF($A$5:$A$1004,A56,$P$5:$P$1004)&gt;100000),"B2CL","B2CS")))</f>
        <v/>
      </c>
      <c r="V56" s="17" t="str">
        <f aca="false">IF(A56="","",TEXT(B56,"mmm-yyyy"))</f>
        <v/>
      </c>
    </row>
    <row r="57" customFormat="false" ht="15" hidden="false" customHeight="true" outlineLevel="0" collapsed="false">
      <c r="A57" s="24"/>
      <c r="B57" s="39"/>
      <c r="C57" s="24"/>
      <c r="D57" s="24"/>
      <c r="E57" s="40"/>
      <c r="F57" s="29"/>
      <c r="G57" s="30"/>
      <c r="H57" s="17" t="str">
        <f aca="false">IF(A57="","",A57&amp;"|"&amp;COUNTIF(A$5:A57,A57))</f>
        <v/>
      </c>
      <c r="I57" s="33" t="str">
        <f aca="false">IF(A57="","",IFERROR(INDEX(Items!$B$5:$B$304,MATCH(D57,Items!$A$5:$A$304,0))&amp;"",""))</f>
        <v/>
      </c>
      <c r="J57" s="34" t="str">
        <f aca="false">IF(A57="","",IFERROR(INDEX(Items!$C$5:$C$304,MATCH(D57,Items!$A$5:$A$304,0))&amp;"",""))</f>
        <v/>
      </c>
      <c r="K57" s="35" t="n">
        <f aca="false">IF(A57="",0,IF(ISNUMBER(F57),F57,IFERROR(INDEX(Items!$D$5:$D$304,MATCH(D57,Items!$A$5:$A$304,0)),0)))</f>
        <v>0</v>
      </c>
      <c r="L57" s="35" t="n">
        <f aca="false">ROUND(N(E57)*K57*(1-N(G57)),2)</f>
        <v>0</v>
      </c>
      <c r="M57" s="36" t="n">
        <f aca="false">IF(A57="",0,IFERROR(INDEX(Items!$E$5:$E$304,MATCH(D57,Items!$A$5:$A$304,0)),0))</f>
        <v>0</v>
      </c>
      <c r="N57" s="37" t="str">
        <f aca="false">IF(A57="","",IFERROR(INDEX(Customers!$E$5:$E$204,MATCH(C57,Customers!$A$5:$A$204,0)),"?"))</f>
        <v/>
      </c>
      <c r="O57" s="38" t="str">
        <f aca="false">IF(A57="","",IF(N57=Settings!$B$17,"No","Yes"))</f>
        <v/>
      </c>
      <c r="P57" s="35" t="n">
        <f aca="false">IF(O57="Yes",ROUND(L57*M57,2),0)</f>
        <v>0</v>
      </c>
      <c r="Q57" s="35" t="n">
        <f aca="false">IF(O57="No",ROUND(L57*M57/2,2),0)</f>
        <v>0</v>
      </c>
      <c r="R57" s="35" t="n">
        <f aca="false">Q57</f>
        <v>0</v>
      </c>
      <c r="S57" s="35" t="n">
        <f aca="false">L57+P57+Q57+R57</f>
        <v>0</v>
      </c>
      <c r="T57" s="34" t="str">
        <f aca="false">IF(A57="","",IFERROR(INDEX(Customers!$B$5:$B$204,MATCH(C57,Customers!$A$5:$A$204,0))&amp;"",""))</f>
        <v/>
      </c>
      <c r="U57" s="38" t="str">
        <f aca="false">IF(A57="","",IF(T57&lt;&gt;"","B2B",IF(AND(O57="Yes",SUMIF($A$5:$A$1004,A57,$L$5:$L$1004)+SUMIF($A$5:$A$1004,A57,$P$5:$P$1004)&gt;100000),"B2CL","B2CS")))</f>
        <v/>
      </c>
      <c r="V57" s="17" t="str">
        <f aca="false">IF(A57="","",TEXT(B57,"mmm-yyyy"))</f>
        <v/>
      </c>
    </row>
    <row r="58" customFormat="false" ht="15" hidden="false" customHeight="true" outlineLevel="0" collapsed="false">
      <c r="A58" s="24"/>
      <c r="B58" s="39"/>
      <c r="C58" s="24"/>
      <c r="D58" s="24"/>
      <c r="E58" s="40"/>
      <c r="F58" s="29"/>
      <c r="G58" s="30"/>
      <c r="H58" s="17" t="str">
        <f aca="false">IF(A58="","",A58&amp;"|"&amp;COUNTIF(A$5:A58,A58))</f>
        <v/>
      </c>
      <c r="I58" s="33" t="str">
        <f aca="false">IF(A58="","",IFERROR(INDEX(Items!$B$5:$B$304,MATCH(D58,Items!$A$5:$A$304,0))&amp;"",""))</f>
        <v/>
      </c>
      <c r="J58" s="34" t="str">
        <f aca="false">IF(A58="","",IFERROR(INDEX(Items!$C$5:$C$304,MATCH(D58,Items!$A$5:$A$304,0))&amp;"",""))</f>
        <v/>
      </c>
      <c r="K58" s="35" t="n">
        <f aca="false">IF(A58="",0,IF(ISNUMBER(F58),F58,IFERROR(INDEX(Items!$D$5:$D$304,MATCH(D58,Items!$A$5:$A$304,0)),0)))</f>
        <v>0</v>
      </c>
      <c r="L58" s="35" t="n">
        <f aca="false">ROUND(N(E58)*K58*(1-N(G58)),2)</f>
        <v>0</v>
      </c>
      <c r="M58" s="36" t="n">
        <f aca="false">IF(A58="",0,IFERROR(INDEX(Items!$E$5:$E$304,MATCH(D58,Items!$A$5:$A$304,0)),0))</f>
        <v>0</v>
      </c>
      <c r="N58" s="37" t="str">
        <f aca="false">IF(A58="","",IFERROR(INDEX(Customers!$E$5:$E$204,MATCH(C58,Customers!$A$5:$A$204,0)),"?"))</f>
        <v/>
      </c>
      <c r="O58" s="38" t="str">
        <f aca="false">IF(A58="","",IF(N58=Settings!$B$17,"No","Yes"))</f>
        <v/>
      </c>
      <c r="P58" s="35" t="n">
        <f aca="false">IF(O58="Yes",ROUND(L58*M58,2),0)</f>
        <v>0</v>
      </c>
      <c r="Q58" s="35" t="n">
        <f aca="false">IF(O58="No",ROUND(L58*M58/2,2),0)</f>
        <v>0</v>
      </c>
      <c r="R58" s="35" t="n">
        <f aca="false">Q58</f>
        <v>0</v>
      </c>
      <c r="S58" s="35" t="n">
        <f aca="false">L58+P58+Q58+R58</f>
        <v>0</v>
      </c>
      <c r="T58" s="34" t="str">
        <f aca="false">IF(A58="","",IFERROR(INDEX(Customers!$B$5:$B$204,MATCH(C58,Customers!$A$5:$A$204,0))&amp;"",""))</f>
        <v/>
      </c>
      <c r="U58" s="38" t="str">
        <f aca="false">IF(A58="","",IF(T58&lt;&gt;"","B2B",IF(AND(O58="Yes",SUMIF($A$5:$A$1004,A58,$L$5:$L$1004)+SUMIF($A$5:$A$1004,A58,$P$5:$P$1004)&gt;100000),"B2CL","B2CS")))</f>
        <v/>
      </c>
      <c r="V58" s="17" t="str">
        <f aca="false">IF(A58="","",TEXT(B58,"mmm-yyyy"))</f>
        <v/>
      </c>
    </row>
    <row r="59" customFormat="false" ht="15" hidden="false" customHeight="true" outlineLevel="0" collapsed="false">
      <c r="A59" s="24"/>
      <c r="B59" s="39"/>
      <c r="C59" s="24"/>
      <c r="D59" s="24"/>
      <c r="E59" s="40"/>
      <c r="F59" s="29"/>
      <c r="G59" s="30"/>
      <c r="H59" s="17" t="str">
        <f aca="false">IF(A59="","",A59&amp;"|"&amp;COUNTIF(A$5:A59,A59))</f>
        <v/>
      </c>
      <c r="I59" s="33" t="str">
        <f aca="false">IF(A59="","",IFERROR(INDEX(Items!$B$5:$B$304,MATCH(D59,Items!$A$5:$A$304,0))&amp;"",""))</f>
        <v/>
      </c>
      <c r="J59" s="34" t="str">
        <f aca="false">IF(A59="","",IFERROR(INDEX(Items!$C$5:$C$304,MATCH(D59,Items!$A$5:$A$304,0))&amp;"",""))</f>
        <v/>
      </c>
      <c r="K59" s="35" t="n">
        <f aca="false">IF(A59="",0,IF(ISNUMBER(F59),F59,IFERROR(INDEX(Items!$D$5:$D$304,MATCH(D59,Items!$A$5:$A$304,0)),0)))</f>
        <v>0</v>
      </c>
      <c r="L59" s="35" t="n">
        <f aca="false">ROUND(N(E59)*K59*(1-N(G59)),2)</f>
        <v>0</v>
      </c>
      <c r="M59" s="36" t="n">
        <f aca="false">IF(A59="",0,IFERROR(INDEX(Items!$E$5:$E$304,MATCH(D59,Items!$A$5:$A$304,0)),0))</f>
        <v>0</v>
      </c>
      <c r="N59" s="37" t="str">
        <f aca="false">IF(A59="","",IFERROR(INDEX(Customers!$E$5:$E$204,MATCH(C59,Customers!$A$5:$A$204,0)),"?"))</f>
        <v/>
      </c>
      <c r="O59" s="38" t="str">
        <f aca="false">IF(A59="","",IF(N59=Settings!$B$17,"No","Yes"))</f>
        <v/>
      </c>
      <c r="P59" s="35" t="n">
        <f aca="false">IF(O59="Yes",ROUND(L59*M59,2),0)</f>
        <v>0</v>
      </c>
      <c r="Q59" s="35" t="n">
        <f aca="false">IF(O59="No",ROUND(L59*M59/2,2),0)</f>
        <v>0</v>
      </c>
      <c r="R59" s="35" t="n">
        <f aca="false">Q59</f>
        <v>0</v>
      </c>
      <c r="S59" s="35" t="n">
        <f aca="false">L59+P59+Q59+R59</f>
        <v>0</v>
      </c>
      <c r="T59" s="34" t="str">
        <f aca="false">IF(A59="","",IFERROR(INDEX(Customers!$B$5:$B$204,MATCH(C59,Customers!$A$5:$A$204,0))&amp;"",""))</f>
        <v/>
      </c>
      <c r="U59" s="38" t="str">
        <f aca="false">IF(A59="","",IF(T59&lt;&gt;"","B2B",IF(AND(O59="Yes",SUMIF($A$5:$A$1004,A59,$L$5:$L$1004)+SUMIF($A$5:$A$1004,A59,$P$5:$P$1004)&gt;100000),"B2CL","B2CS")))</f>
        <v/>
      </c>
      <c r="V59" s="17" t="str">
        <f aca="false">IF(A59="","",TEXT(B59,"mmm-yyyy"))</f>
        <v/>
      </c>
    </row>
    <row r="60" customFormat="false" ht="15" hidden="false" customHeight="true" outlineLevel="0" collapsed="false">
      <c r="A60" s="24"/>
      <c r="B60" s="39"/>
      <c r="C60" s="24"/>
      <c r="D60" s="24"/>
      <c r="E60" s="40"/>
      <c r="F60" s="29"/>
      <c r="G60" s="30"/>
      <c r="H60" s="17" t="str">
        <f aca="false">IF(A60="","",A60&amp;"|"&amp;COUNTIF(A$5:A60,A60))</f>
        <v/>
      </c>
      <c r="I60" s="33" t="str">
        <f aca="false">IF(A60="","",IFERROR(INDEX(Items!$B$5:$B$304,MATCH(D60,Items!$A$5:$A$304,0))&amp;"",""))</f>
        <v/>
      </c>
      <c r="J60" s="34" t="str">
        <f aca="false">IF(A60="","",IFERROR(INDEX(Items!$C$5:$C$304,MATCH(D60,Items!$A$5:$A$304,0))&amp;"",""))</f>
        <v/>
      </c>
      <c r="K60" s="35" t="n">
        <f aca="false">IF(A60="",0,IF(ISNUMBER(F60),F60,IFERROR(INDEX(Items!$D$5:$D$304,MATCH(D60,Items!$A$5:$A$304,0)),0)))</f>
        <v>0</v>
      </c>
      <c r="L60" s="35" t="n">
        <f aca="false">ROUND(N(E60)*K60*(1-N(G60)),2)</f>
        <v>0</v>
      </c>
      <c r="M60" s="36" t="n">
        <f aca="false">IF(A60="",0,IFERROR(INDEX(Items!$E$5:$E$304,MATCH(D60,Items!$A$5:$A$304,0)),0))</f>
        <v>0</v>
      </c>
      <c r="N60" s="37" t="str">
        <f aca="false">IF(A60="","",IFERROR(INDEX(Customers!$E$5:$E$204,MATCH(C60,Customers!$A$5:$A$204,0)),"?"))</f>
        <v/>
      </c>
      <c r="O60" s="38" t="str">
        <f aca="false">IF(A60="","",IF(N60=Settings!$B$17,"No","Yes"))</f>
        <v/>
      </c>
      <c r="P60" s="35" t="n">
        <f aca="false">IF(O60="Yes",ROUND(L60*M60,2),0)</f>
        <v>0</v>
      </c>
      <c r="Q60" s="35" t="n">
        <f aca="false">IF(O60="No",ROUND(L60*M60/2,2),0)</f>
        <v>0</v>
      </c>
      <c r="R60" s="35" t="n">
        <f aca="false">Q60</f>
        <v>0</v>
      </c>
      <c r="S60" s="35" t="n">
        <f aca="false">L60+P60+Q60+R60</f>
        <v>0</v>
      </c>
      <c r="T60" s="34" t="str">
        <f aca="false">IF(A60="","",IFERROR(INDEX(Customers!$B$5:$B$204,MATCH(C60,Customers!$A$5:$A$204,0))&amp;"",""))</f>
        <v/>
      </c>
      <c r="U60" s="38" t="str">
        <f aca="false">IF(A60="","",IF(T60&lt;&gt;"","B2B",IF(AND(O60="Yes",SUMIF($A$5:$A$1004,A60,$L$5:$L$1004)+SUMIF($A$5:$A$1004,A60,$P$5:$P$1004)&gt;100000),"B2CL","B2CS")))</f>
        <v/>
      </c>
      <c r="V60" s="17" t="str">
        <f aca="false">IF(A60="","",TEXT(B60,"mmm-yyyy"))</f>
        <v/>
      </c>
    </row>
    <row r="61" customFormat="false" ht="15" hidden="false" customHeight="true" outlineLevel="0" collapsed="false">
      <c r="A61" s="24"/>
      <c r="B61" s="39"/>
      <c r="C61" s="24"/>
      <c r="D61" s="24"/>
      <c r="E61" s="40"/>
      <c r="F61" s="29"/>
      <c r="G61" s="30"/>
      <c r="H61" s="17" t="str">
        <f aca="false">IF(A61="","",A61&amp;"|"&amp;COUNTIF(A$5:A61,A61))</f>
        <v/>
      </c>
      <c r="I61" s="33" t="str">
        <f aca="false">IF(A61="","",IFERROR(INDEX(Items!$B$5:$B$304,MATCH(D61,Items!$A$5:$A$304,0))&amp;"",""))</f>
        <v/>
      </c>
      <c r="J61" s="34" t="str">
        <f aca="false">IF(A61="","",IFERROR(INDEX(Items!$C$5:$C$304,MATCH(D61,Items!$A$5:$A$304,0))&amp;"",""))</f>
        <v/>
      </c>
      <c r="K61" s="35" t="n">
        <f aca="false">IF(A61="",0,IF(ISNUMBER(F61),F61,IFERROR(INDEX(Items!$D$5:$D$304,MATCH(D61,Items!$A$5:$A$304,0)),0)))</f>
        <v>0</v>
      </c>
      <c r="L61" s="35" t="n">
        <f aca="false">ROUND(N(E61)*K61*(1-N(G61)),2)</f>
        <v>0</v>
      </c>
      <c r="M61" s="36" t="n">
        <f aca="false">IF(A61="",0,IFERROR(INDEX(Items!$E$5:$E$304,MATCH(D61,Items!$A$5:$A$304,0)),0))</f>
        <v>0</v>
      </c>
      <c r="N61" s="37" t="str">
        <f aca="false">IF(A61="","",IFERROR(INDEX(Customers!$E$5:$E$204,MATCH(C61,Customers!$A$5:$A$204,0)),"?"))</f>
        <v/>
      </c>
      <c r="O61" s="38" t="str">
        <f aca="false">IF(A61="","",IF(N61=Settings!$B$17,"No","Yes"))</f>
        <v/>
      </c>
      <c r="P61" s="35" t="n">
        <f aca="false">IF(O61="Yes",ROUND(L61*M61,2),0)</f>
        <v>0</v>
      </c>
      <c r="Q61" s="35" t="n">
        <f aca="false">IF(O61="No",ROUND(L61*M61/2,2),0)</f>
        <v>0</v>
      </c>
      <c r="R61" s="35" t="n">
        <f aca="false">Q61</f>
        <v>0</v>
      </c>
      <c r="S61" s="35" t="n">
        <f aca="false">L61+P61+Q61+R61</f>
        <v>0</v>
      </c>
      <c r="T61" s="34" t="str">
        <f aca="false">IF(A61="","",IFERROR(INDEX(Customers!$B$5:$B$204,MATCH(C61,Customers!$A$5:$A$204,0))&amp;"",""))</f>
        <v/>
      </c>
      <c r="U61" s="38" t="str">
        <f aca="false">IF(A61="","",IF(T61&lt;&gt;"","B2B",IF(AND(O61="Yes",SUMIF($A$5:$A$1004,A61,$L$5:$L$1004)+SUMIF($A$5:$A$1004,A61,$P$5:$P$1004)&gt;100000),"B2CL","B2CS")))</f>
        <v/>
      </c>
      <c r="V61" s="17" t="str">
        <f aca="false">IF(A61="","",TEXT(B61,"mmm-yyyy"))</f>
        <v/>
      </c>
    </row>
    <row r="62" customFormat="false" ht="15" hidden="false" customHeight="true" outlineLevel="0" collapsed="false">
      <c r="A62" s="24"/>
      <c r="B62" s="39"/>
      <c r="C62" s="24"/>
      <c r="D62" s="24"/>
      <c r="E62" s="40"/>
      <c r="F62" s="29"/>
      <c r="G62" s="30"/>
      <c r="H62" s="17" t="str">
        <f aca="false">IF(A62="","",A62&amp;"|"&amp;COUNTIF(A$5:A62,A62))</f>
        <v/>
      </c>
      <c r="I62" s="33" t="str">
        <f aca="false">IF(A62="","",IFERROR(INDEX(Items!$B$5:$B$304,MATCH(D62,Items!$A$5:$A$304,0))&amp;"",""))</f>
        <v/>
      </c>
      <c r="J62" s="34" t="str">
        <f aca="false">IF(A62="","",IFERROR(INDEX(Items!$C$5:$C$304,MATCH(D62,Items!$A$5:$A$304,0))&amp;"",""))</f>
        <v/>
      </c>
      <c r="K62" s="35" t="n">
        <f aca="false">IF(A62="",0,IF(ISNUMBER(F62),F62,IFERROR(INDEX(Items!$D$5:$D$304,MATCH(D62,Items!$A$5:$A$304,0)),0)))</f>
        <v>0</v>
      </c>
      <c r="L62" s="35" t="n">
        <f aca="false">ROUND(N(E62)*K62*(1-N(G62)),2)</f>
        <v>0</v>
      </c>
      <c r="M62" s="36" t="n">
        <f aca="false">IF(A62="",0,IFERROR(INDEX(Items!$E$5:$E$304,MATCH(D62,Items!$A$5:$A$304,0)),0))</f>
        <v>0</v>
      </c>
      <c r="N62" s="37" t="str">
        <f aca="false">IF(A62="","",IFERROR(INDEX(Customers!$E$5:$E$204,MATCH(C62,Customers!$A$5:$A$204,0)),"?"))</f>
        <v/>
      </c>
      <c r="O62" s="38" t="str">
        <f aca="false">IF(A62="","",IF(N62=Settings!$B$17,"No","Yes"))</f>
        <v/>
      </c>
      <c r="P62" s="35" t="n">
        <f aca="false">IF(O62="Yes",ROUND(L62*M62,2),0)</f>
        <v>0</v>
      </c>
      <c r="Q62" s="35" t="n">
        <f aca="false">IF(O62="No",ROUND(L62*M62/2,2),0)</f>
        <v>0</v>
      </c>
      <c r="R62" s="35" t="n">
        <f aca="false">Q62</f>
        <v>0</v>
      </c>
      <c r="S62" s="35" t="n">
        <f aca="false">L62+P62+Q62+R62</f>
        <v>0</v>
      </c>
      <c r="T62" s="34" t="str">
        <f aca="false">IF(A62="","",IFERROR(INDEX(Customers!$B$5:$B$204,MATCH(C62,Customers!$A$5:$A$204,0))&amp;"",""))</f>
        <v/>
      </c>
      <c r="U62" s="38" t="str">
        <f aca="false">IF(A62="","",IF(T62&lt;&gt;"","B2B",IF(AND(O62="Yes",SUMIF($A$5:$A$1004,A62,$L$5:$L$1004)+SUMIF($A$5:$A$1004,A62,$P$5:$P$1004)&gt;100000),"B2CL","B2CS")))</f>
        <v/>
      </c>
      <c r="V62" s="17" t="str">
        <f aca="false">IF(A62="","",TEXT(B62,"mmm-yyyy"))</f>
        <v/>
      </c>
    </row>
    <row r="63" customFormat="false" ht="15" hidden="false" customHeight="true" outlineLevel="0" collapsed="false">
      <c r="A63" s="24"/>
      <c r="B63" s="39"/>
      <c r="C63" s="24"/>
      <c r="D63" s="24"/>
      <c r="E63" s="40"/>
      <c r="F63" s="29"/>
      <c r="G63" s="30"/>
      <c r="H63" s="17" t="str">
        <f aca="false">IF(A63="","",A63&amp;"|"&amp;COUNTIF(A$5:A63,A63))</f>
        <v/>
      </c>
      <c r="I63" s="33" t="str">
        <f aca="false">IF(A63="","",IFERROR(INDEX(Items!$B$5:$B$304,MATCH(D63,Items!$A$5:$A$304,0))&amp;"",""))</f>
        <v/>
      </c>
      <c r="J63" s="34" t="str">
        <f aca="false">IF(A63="","",IFERROR(INDEX(Items!$C$5:$C$304,MATCH(D63,Items!$A$5:$A$304,0))&amp;"",""))</f>
        <v/>
      </c>
      <c r="K63" s="35" t="n">
        <f aca="false">IF(A63="",0,IF(ISNUMBER(F63),F63,IFERROR(INDEX(Items!$D$5:$D$304,MATCH(D63,Items!$A$5:$A$304,0)),0)))</f>
        <v>0</v>
      </c>
      <c r="L63" s="35" t="n">
        <f aca="false">ROUND(N(E63)*K63*(1-N(G63)),2)</f>
        <v>0</v>
      </c>
      <c r="M63" s="36" t="n">
        <f aca="false">IF(A63="",0,IFERROR(INDEX(Items!$E$5:$E$304,MATCH(D63,Items!$A$5:$A$304,0)),0))</f>
        <v>0</v>
      </c>
      <c r="N63" s="37" t="str">
        <f aca="false">IF(A63="","",IFERROR(INDEX(Customers!$E$5:$E$204,MATCH(C63,Customers!$A$5:$A$204,0)),"?"))</f>
        <v/>
      </c>
      <c r="O63" s="38" t="str">
        <f aca="false">IF(A63="","",IF(N63=Settings!$B$17,"No","Yes"))</f>
        <v/>
      </c>
      <c r="P63" s="35" t="n">
        <f aca="false">IF(O63="Yes",ROUND(L63*M63,2),0)</f>
        <v>0</v>
      </c>
      <c r="Q63" s="35" t="n">
        <f aca="false">IF(O63="No",ROUND(L63*M63/2,2),0)</f>
        <v>0</v>
      </c>
      <c r="R63" s="35" t="n">
        <f aca="false">Q63</f>
        <v>0</v>
      </c>
      <c r="S63" s="35" t="n">
        <f aca="false">L63+P63+Q63+R63</f>
        <v>0</v>
      </c>
      <c r="T63" s="34" t="str">
        <f aca="false">IF(A63="","",IFERROR(INDEX(Customers!$B$5:$B$204,MATCH(C63,Customers!$A$5:$A$204,0))&amp;"",""))</f>
        <v/>
      </c>
      <c r="U63" s="38" t="str">
        <f aca="false">IF(A63="","",IF(T63&lt;&gt;"","B2B",IF(AND(O63="Yes",SUMIF($A$5:$A$1004,A63,$L$5:$L$1004)+SUMIF($A$5:$A$1004,A63,$P$5:$P$1004)&gt;100000),"B2CL","B2CS")))</f>
        <v/>
      </c>
      <c r="V63" s="17" t="str">
        <f aca="false">IF(A63="","",TEXT(B63,"mmm-yyyy"))</f>
        <v/>
      </c>
    </row>
    <row r="64" customFormat="false" ht="15" hidden="false" customHeight="true" outlineLevel="0" collapsed="false">
      <c r="A64" s="24"/>
      <c r="B64" s="39"/>
      <c r="C64" s="24"/>
      <c r="D64" s="24"/>
      <c r="E64" s="40"/>
      <c r="F64" s="29"/>
      <c r="G64" s="30"/>
      <c r="H64" s="17" t="str">
        <f aca="false">IF(A64="","",A64&amp;"|"&amp;COUNTIF(A$5:A64,A64))</f>
        <v/>
      </c>
      <c r="I64" s="33" t="str">
        <f aca="false">IF(A64="","",IFERROR(INDEX(Items!$B$5:$B$304,MATCH(D64,Items!$A$5:$A$304,0))&amp;"",""))</f>
        <v/>
      </c>
      <c r="J64" s="34" t="str">
        <f aca="false">IF(A64="","",IFERROR(INDEX(Items!$C$5:$C$304,MATCH(D64,Items!$A$5:$A$304,0))&amp;"",""))</f>
        <v/>
      </c>
      <c r="K64" s="35" t="n">
        <f aca="false">IF(A64="",0,IF(ISNUMBER(F64),F64,IFERROR(INDEX(Items!$D$5:$D$304,MATCH(D64,Items!$A$5:$A$304,0)),0)))</f>
        <v>0</v>
      </c>
      <c r="L64" s="35" t="n">
        <f aca="false">ROUND(N(E64)*K64*(1-N(G64)),2)</f>
        <v>0</v>
      </c>
      <c r="M64" s="36" t="n">
        <f aca="false">IF(A64="",0,IFERROR(INDEX(Items!$E$5:$E$304,MATCH(D64,Items!$A$5:$A$304,0)),0))</f>
        <v>0</v>
      </c>
      <c r="N64" s="37" t="str">
        <f aca="false">IF(A64="","",IFERROR(INDEX(Customers!$E$5:$E$204,MATCH(C64,Customers!$A$5:$A$204,0)),"?"))</f>
        <v/>
      </c>
      <c r="O64" s="38" t="str">
        <f aca="false">IF(A64="","",IF(N64=Settings!$B$17,"No","Yes"))</f>
        <v/>
      </c>
      <c r="P64" s="35" t="n">
        <f aca="false">IF(O64="Yes",ROUND(L64*M64,2),0)</f>
        <v>0</v>
      </c>
      <c r="Q64" s="35" t="n">
        <f aca="false">IF(O64="No",ROUND(L64*M64/2,2),0)</f>
        <v>0</v>
      </c>
      <c r="R64" s="35" t="n">
        <f aca="false">Q64</f>
        <v>0</v>
      </c>
      <c r="S64" s="35" t="n">
        <f aca="false">L64+P64+Q64+R64</f>
        <v>0</v>
      </c>
      <c r="T64" s="34" t="str">
        <f aca="false">IF(A64="","",IFERROR(INDEX(Customers!$B$5:$B$204,MATCH(C64,Customers!$A$5:$A$204,0))&amp;"",""))</f>
        <v/>
      </c>
      <c r="U64" s="38" t="str">
        <f aca="false">IF(A64="","",IF(T64&lt;&gt;"","B2B",IF(AND(O64="Yes",SUMIF($A$5:$A$1004,A64,$L$5:$L$1004)+SUMIF($A$5:$A$1004,A64,$P$5:$P$1004)&gt;100000),"B2CL","B2CS")))</f>
        <v/>
      </c>
      <c r="V64" s="17" t="str">
        <f aca="false">IF(A64="","",TEXT(B64,"mmm-yyyy"))</f>
        <v/>
      </c>
    </row>
    <row r="65" customFormat="false" ht="15" hidden="false" customHeight="true" outlineLevel="0" collapsed="false">
      <c r="A65" s="24"/>
      <c r="B65" s="39"/>
      <c r="C65" s="24"/>
      <c r="D65" s="24"/>
      <c r="E65" s="40"/>
      <c r="F65" s="29"/>
      <c r="G65" s="30"/>
      <c r="H65" s="17" t="str">
        <f aca="false">IF(A65="","",A65&amp;"|"&amp;COUNTIF(A$5:A65,A65))</f>
        <v/>
      </c>
      <c r="I65" s="33" t="str">
        <f aca="false">IF(A65="","",IFERROR(INDEX(Items!$B$5:$B$304,MATCH(D65,Items!$A$5:$A$304,0))&amp;"",""))</f>
        <v/>
      </c>
      <c r="J65" s="34" t="str">
        <f aca="false">IF(A65="","",IFERROR(INDEX(Items!$C$5:$C$304,MATCH(D65,Items!$A$5:$A$304,0))&amp;"",""))</f>
        <v/>
      </c>
      <c r="K65" s="35" t="n">
        <f aca="false">IF(A65="",0,IF(ISNUMBER(F65),F65,IFERROR(INDEX(Items!$D$5:$D$304,MATCH(D65,Items!$A$5:$A$304,0)),0)))</f>
        <v>0</v>
      </c>
      <c r="L65" s="35" t="n">
        <f aca="false">ROUND(N(E65)*K65*(1-N(G65)),2)</f>
        <v>0</v>
      </c>
      <c r="M65" s="36" t="n">
        <f aca="false">IF(A65="",0,IFERROR(INDEX(Items!$E$5:$E$304,MATCH(D65,Items!$A$5:$A$304,0)),0))</f>
        <v>0</v>
      </c>
      <c r="N65" s="37" t="str">
        <f aca="false">IF(A65="","",IFERROR(INDEX(Customers!$E$5:$E$204,MATCH(C65,Customers!$A$5:$A$204,0)),"?"))</f>
        <v/>
      </c>
      <c r="O65" s="38" t="str">
        <f aca="false">IF(A65="","",IF(N65=Settings!$B$17,"No","Yes"))</f>
        <v/>
      </c>
      <c r="P65" s="35" t="n">
        <f aca="false">IF(O65="Yes",ROUND(L65*M65,2),0)</f>
        <v>0</v>
      </c>
      <c r="Q65" s="35" t="n">
        <f aca="false">IF(O65="No",ROUND(L65*M65/2,2),0)</f>
        <v>0</v>
      </c>
      <c r="R65" s="35" t="n">
        <f aca="false">Q65</f>
        <v>0</v>
      </c>
      <c r="S65" s="35" t="n">
        <f aca="false">L65+P65+Q65+R65</f>
        <v>0</v>
      </c>
      <c r="T65" s="34" t="str">
        <f aca="false">IF(A65="","",IFERROR(INDEX(Customers!$B$5:$B$204,MATCH(C65,Customers!$A$5:$A$204,0))&amp;"",""))</f>
        <v/>
      </c>
      <c r="U65" s="38" t="str">
        <f aca="false">IF(A65="","",IF(T65&lt;&gt;"","B2B",IF(AND(O65="Yes",SUMIF($A$5:$A$1004,A65,$L$5:$L$1004)+SUMIF($A$5:$A$1004,A65,$P$5:$P$1004)&gt;100000),"B2CL","B2CS")))</f>
        <v/>
      </c>
      <c r="V65" s="17" t="str">
        <f aca="false">IF(A65="","",TEXT(B65,"mmm-yyyy"))</f>
        <v/>
      </c>
    </row>
    <row r="66" customFormat="false" ht="15" hidden="false" customHeight="true" outlineLevel="0" collapsed="false">
      <c r="A66" s="24"/>
      <c r="B66" s="39"/>
      <c r="C66" s="24"/>
      <c r="D66" s="24"/>
      <c r="E66" s="40"/>
      <c r="F66" s="29"/>
      <c r="G66" s="30"/>
      <c r="H66" s="17" t="str">
        <f aca="false">IF(A66="","",A66&amp;"|"&amp;COUNTIF(A$5:A66,A66))</f>
        <v/>
      </c>
      <c r="I66" s="33" t="str">
        <f aca="false">IF(A66="","",IFERROR(INDEX(Items!$B$5:$B$304,MATCH(D66,Items!$A$5:$A$304,0))&amp;"",""))</f>
        <v/>
      </c>
      <c r="J66" s="34" t="str">
        <f aca="false">IF(A66="","",IFERROR(INDEX(Items!$C$5:$C$304,MATCH(D66,Items!$A$5:$A$304,0))&amp;"",""))</f>
        <v/>
      </c>
      <c r="K66" s="35" t="n">
        <f aca="false">IF(A66="",0,IF(ISNUMBER(F66),F66,IFERROR(INDEX(Items!$D$5:$D$304,MATCH(D66,Items!$A$5:$A$304,0)),0)))</f>
        <v>0</v>
      </c>
      <c r="L66" s="35" t="n">
        <f aca="false">ROUND(N(E66)*K66*(1-N(G66)),2)</f>
        <v>0</v>
      </c>
      <c r="M66" s="36" t="n">
        <f aca="false">IF(A66="",0,IFERROR(INDEX(Items!$E$5:$E$304,MATCH(D66,Items!$A$5:$A$304,0)),0))</f>
        <v>0</v>
      </c>
      <c r="N66" s="37" t="str">
        <f aca="false">IF(A66="","",IFERROR(INDEX(Customers!$E$5:$E$204,MATCH(C66,Customers!$A$5:$A$204,0)),"?"))</f>
        <v/>
      </c>
      <c r="O66" s="38" t="str">
        <f aca="false">IF(A66="","",IF(N66=Settings!$B$17,"No","Yes"))</f>
        <v/>
      </c>
      <c r="P66" s="35" t="n">
        <f aca="false">IF(O66="Yes",ROUND(L66*M66,2),0)</f>
        <v>0</v>
      </c>
      <c r="Q66" s="35" t="n">
        <f aca="false">IF(O66="No",ROUND(L66*M66/2,2),0)</f>
        <v>0</v>
      </c>
      <c r="R66" s="35" t="n">
        <f aca="false">Q66</f>
        <v>0</v>
      </c>
      <c r="S66" s="35" t="n">
        <f aca="false">L66+P66+Q66+R66</f>
        <v>0</v>
      </c>
      <c r="T66" s="34" t="str">
        <f aca="false">IF(A66="","",IFERROR(INDEX(Customers!$B$5:$B$204,MATCH(C66,Customers!$A$5:$A$204,0))&amp;"",""))</f>
        <v/>
      </c>
      <c r="U66" s="38" t="str">
        <f aca="false">IF(A66="","",IF(T66&lt;&gt;"","B2B",IF(AND(O66="Yes",SUMIF($A$5:$A$1004,A66,$L$5:$L$1004)+SUMIF($A$5:$A$1004,A66,$P$5:$P$1004)&gt;100000),"B2CL","B2CS")))</f>
        <v/>
      </c>
      <c r="V66" s="17" t="str">
        <f aca="false">IF(A66="","",TEXT(B66,"mmm-yyyy"))</f>
        <v/>
      </c>
    </row>
    <row r="67" customFormat="false" ht="15" hidden="false" customHeight="true" outlineLevel="0" collapsed="false">
      <c r="A67" s="24"/>
      <c r="B67" s="39"/>
      <c r="C67" s="24"/>
      <c r="D67" s="24"/>
      <c r="E67" s="40"/>
      <c r="F67" s="29"/>
      <c r="G67" s="30"/>
      <c r="H67" s="17" t="str">
        <f aca="false">IF(A67="","",A67&amp;"|"&amp;COUNTIF(A$5:A67,A67))</f>
        <v/>
      </c>
      <c r="I67" s="33" t="str">
        <f aca="false">IF(A67="","",IFERROR(INDEX(Items!$B$5:$B$304,MATCH(D67,Items!$A$5:$A$304,0))&amp;"",""))</f>
        <v/>
      </c>
      <c r="J67" s="34" t="str">
        <f aca="false">IF(A67="","",IFERROR(INDEX(Items!$C$5:$C$304,MATCH(D67,Items!$A$5:$A$304,0))&amp;"",""))</f>
        <v/>
      </c>
      <c r="K67" s="35" t="n">
        <f aca="false">IF(A67="",0,IF(ISNUMBER(F67),F67,IFERROR(INDEX(Items!$D$5:$D$304,MATCH(D67,Items!$A$5:$A$304,0)),0)))</f>
        <v>0</v>
      </c>
      <c r="L67" s="35" t="n">
        <f aca="false">ROUND(N(E67)*K67*(1-N(G67)),2)</f>
        <v>0</v>
      </c>
      <c r="M67" s="36" t="n">
        <f aca="false">IF(A67="",0,IFERROR(INDEX(Items!$E$5:$E$304,MATCH(D67,Items!$A$5:$A$304,0)),0))</f>
        <v>0</v>
      </c>
      <c r="N67" s="37" t="str">
        <f aca="false">IF(A67="","",IFERROR(INDEX(Customers!$E$5:$E$204,MATCH(C67,Customers!$A$5:$A$204,0)),"?"))</f>
        <v/>
      </c>
      <c r="O67" s="38" t="str">
        <f aca="false">IF(A67="","",IF(N67=Settings!$B$17,"No","Yes"))</f>
        <v/>
      </c>
      <c r="P67" s="35" t="n">
        <f aca="false">IF(O67="Yes",ROUND(L67*M67,2),0)</f>
        <v>0</v>
      </c>
      <c r="Q67" s="35" t="n">
        <f aca="false">IF(O67="No",ROUND(L67*M67/2,2),0)</f>
        <v>0</v>
      </c>
      <c r="R67" s="35" t="n">
        <f aca="false">Q67</f>
        <v>0</v>
      </c>
      <c r="S67" s="35" t="n">
        <f aca="false">L67+P67+Q67+R67</f>
        <v>0</v>
      </c>
      <c r="T67" s="34" t="str">
        <f aca="false">IF(A67="","",IFERROR(INDEX(Customers!$B$5:$B$204,MATCH(C67,Customers!$A$5:$A$204,0))&amp;"",""))</f>
        <v/>
      </c>
      <c r="U67" s="38" t="str">
        <f aca="false">IF(A67="","",IF(T67&lt;&gt;"","B2B",IF(AND(O67="Yes",SUMIF($A$5:$A$1004,A67,$L$5:$L$1004)+SUMIF($A$5:$A$1004,A67,$P$5:$P$1004)&gt;100000),"B2CL","B2CS")))</f>
        <v/>
      </c>
      <c r="V67" s="17" t="str">
        <f aca="false">IF(A67="","",TEXT(B67,"mmm-yyyy"))</f>
        <v/>
      </c>
    </row>
    <row r="68" customFormat="false" ht="15" hidden="false" customHeight="true" outlineLevel="0" collapsed="false">
      <c r="A68" s="24"/>
      <c r="B68" s="39"/>
      <c r="C68" s="24"/>
      <c r="D68" s="24"/>
      <c r="E68" s="40"/>
      <c r="F68" s="29"/>
      <c r="G68" s="30"/>
      <c r="H68" s="17" t="str">
        <f aca="false">IF(A68="","",A68&amp;"|"&amp;COUNTIF(A$5:A68,A68))</f>
        <v/>
      </c>
      <c r="I68" s="33" t="str">
        <f aca="false">IF(A68="","",IFERROR(INDEX(Items!$B$5:$B$304,MATCH(D68,Items!$A$5:$A$304,0))&amp;"",""))</f>
        <v/>
      </c>
      <c r="J68" s="34" t="str">
        <f aca="false">IF(A68="","",IFERROR(INDEX(Items!$C$5:$C$304,MATCH(D68,Items!$A$5:$A$304,0))&amp;"",""))</f>
        <v/>
      </c>
      <c r="K68" s="35" t="n">
        <f aca="false">IF(A68="",0,IF(ISNUMBER(F68),F68,IFERROR(INDEX(Items!$D$5:$D$304,MATCH(D68,Items!$A$5:$A$304,0)),0)))</f>
        <v>0</v>
      </c>
      <c r="L68" s="35" t="n">
        <f aca="false">ROUND(N(E68)*K68*(1-N(G68)),2)</f>
        <v>0</v>
      </c>
      <c r="M68" s="36" t="n">
        <f aca="false">IF(A68="",0,IFERROR(INDEX(Items!$E$5:$E$304,MATCH(D68,Items!$A$5:$A$304,0)),0))</f>
        <v>0</v>
      </c>
      <c r="N68" s="37" t="str">
        <f aca="false">IF(A68="","",IFERROR(INDEX(Customers!$E$5:$E$204,MATCH(C68,Customers!$A$5:$A$204,0)),"?"))</f>
        <v/>
      </c>
      <c r="O68" s="38" t="str">
        <f aca="false">IF(A68="","",IF(N68=Settings!$B$17,"No","Yes"))</f>
        <v/>
      </c>
      <c r="P68" s="35" t="n">
        <f aca="false">IF(O68="Yes",ROUND(L68*M68,2),0)</f>
        <v>0</v>
      </c>
      <c r="Q68" s="35" t="n">
        <f aca="false">IF(O68="No",ROUND(L68*M68/2,2),0)</f>
        <v>0</v>
      </c>
      <c r="R68" s="35" t="n">
        <f aca="false">Q68</f>
        <v>0</v>
      </c>
      <c r="S68" s="35" t="n">
        <f aca="false">L68+P68+Q68+R68</f>
        <v>0</v>
      </c>
      <c r="T68" s="34" t="str">
        <f aca="false">IF(A68="","",IFERROR(INDEX(Customers!$B$5:$B$204,MATCH(C68,Customers!$A$5:$A$204,0))&amp;"",""))</f>
        <v/>
      </c>
      <c r="U68" s="38" t="str">
        <f aca="false">IF(A68="","",IF(T68&lt;&gt;"","B2B",IF(AND(O68="Yes",SUMIF($A$5:$A$1004,A68,$L$5:$L$1004)+SUMIF($A$5:$A$1004,A68,$P$5:$P$1004)&gt;100000),"B2CL","B2CS")))</f>
        <v/>
      </c>
      <c r="V68" s="17" t="str">
        <f aca="false">IF(A68="","",TEXT(B68,"mmm-yyyy"))</f>
        <v/>
      </c>
    </row>
    <row r="69" customFormat="false" ht="15" hidden="false" customHeight="true" outlineLevel="0" collapsed="false">
      <c r="A69" s="24"/>
      <c r="B69" s="39"/>
      <c r="C69" s="24"/>
      <c r="D69" s="24"/>
      <c r="E69" s="40"/>
      <c r="F69" s="29"/>
      <c r="G69" s="30"/>
      <c r="H69" s="17" t="str">
        <f aca="false">IF(A69="","",A69&amp;"|"&amp;COUNTIF(A$5:A69,A69))</f>
        <v/>
      </c>
      <c r="I69" s="33" t="str">
        <f aca="false">IF(A69="","",IFERROR(INDEX(Items!$B$5:$B$304,MATCH(D69,Items!$A$5:$A$304,0))&amp;"",""))</f>
        <v/>
      </c>
      <c r="J69" s="34" t="str">
        <f aca="false">IF(A69="","",IFERROR(INDEX(Items!$C$5:$C$304,MATCH(D69,Items!$A$5:$A$304,0))&amp;"",""))</f>
        <v/>
      </c>
      <c r="K69" s="35" t="n">
        <f aca="false">IF(A69="",0,IF(ISNUMBER(F69),F69,IFERROR(INDEX(Items!$D$5:$D$304,MATCH(D69,Items!$A$5:$A$304,0)),0)))</f>
        <v>0</v>
      </c>
      <c r="L69" s="35" t="n">
        <f aca="false">ROUND(N(E69)*K69*(1-N(G69)),2)</f>
        <v>0</v>
      </c>
      <c r="M69" s="36" t="n">
        <f aca="false">IF(A69="",0,IFERROR(INDEX(Items!$E$5:$E$304,MATCH(D69,Items!$A$5:$A$304,0)),0))</f>
        <v>0</v>
      </c>
      <c r="N69" s="37" t="str">
        <f aca="false">IF(A69="","",IFERROR(INDEX(Customers!$E$5:$E$204,MATCH(C69,Customers!$A$5:$A$204,0)),"?"))</f>
        <v/>
      </c>
      <c r="O69" s="38" t="str">
        <f aca="false">IF(A69="","",IF(N69=Settings!$B$17,"No","Yes"))</f>
        <v/>
      </c>
      <c r="P69" s="35" t="n">
        <f aca="false">IF(O69="Yes",ROUND(L69*M69,2),0)</f>
        <v>0</v>
      </c>
      <c r="Q69" s="35" t="n">
        <f aca="false">IF(O69="No",ROUND(L69*M69/2,2),0)</f>
        <v>0</v>
      </c>
      <c r="R69" s="35" t="n">
        <f aca="false">Q69</f>
        <v>0</v>
      </c>
      <c r="S69" s="35" t="n">
        <f aca="false">L69+P69+Q69+R69</f>
        <v>0</v>
      </c>
      <c r="T69" s="34" t="str">
        <f aca="false">IF(A69="","",IFERROR(INDEX(Customers!$B$5:$B$204,MATCH(C69,Customers!$A$5:$A$204,0))&amp;"",""))</f>
        <v/>
      </c>
      <c r="U69" s="38" t="str">
        <f aca="false">IF(A69="","",IF(T69&lt;&gt;"","B2B",IF(AND(O69="Yes",SUMIF($A$5:$A$1004,A69,$L$5:$L$1004)+SUMIF($A$5:$A$1004,A69,$P$5:$P$1004)&gt;100000),"B2CL","B2CS")))</f>
        <v/>
      </c>
      <c r="V69" s="17" t="str">
        <f aca="false">IF(A69="","",TEXT(B69,"mmm-yyyy"))</f>
        <v/>
      </c>
    </row>
    <row r="70" customFormat="false" ht="15" hidden="false" customHeight="true" outlineLevel="0" collapsed="false">
      <c r="A70" s="24"/>
      <c r="B70" s="39"/>
      <c r="C70" s="24"/>
      <c r="D70" s="24"/>
      <c r="E70" s="40"/>
      <c r="F70" s="29"/>
      <c r="G70" s="30"/>
      <c r="H70" s="17" t="str">
        <f aca="false">IF(A70="","",A70&amp;"|"&amp;COUNTIF(A$5:A70,A70))</f>
        <v/>
      </c>
      <c r="I70" s="33" t="str">
        <f aca="false">IF(A70="","",IFERROR(INDEX(Items!$B$5:$B$304,MATCH(D70,Items!$A$5:$A$304,0))&amp;"",""))</f>
        <v/>
      </c>
      <c r="J70" s="34" t="str">
        <f aca="false">IF(A70="","",IFERROR(INDEX(Items!$C$5:$C$304,MATCH(D70,Items!$A$5:$A$304,0))&amp;"",""))</f>
        <v/>
      </c>
      <c r="K70" s="35" t="n">
        <f aca="false">IF(A70="",0,IF(ISNUMBER(F70),F70,IFERROR(INDEX(Items!$D$5:$D$304,MATCH(D70,Items!$A$5:$A$304,0)),0)))</f>
        <v>0</v>
      </c>
      <c r="L70" s="35" t="n">
        <f aca="false">ROUND(N(E70)*K70*(1-N(G70)),2)</f>
        <v>0</v>
      </c>
      <c r="M70" s="36" t="n">
        <f aca="false">IF(A70="",0,IFERROR(INDEX(Items!$E$5:$E$304,MATCH(D70,Items!$A$5:$A$304,0)),0))</f>
        <v>0</v>
      </c>
      <c r="N70" s="37" t="str">
        <f aca="false">IF(A70="","",IFERROR(INDEX(Customers!$E$5:$E$204,MATCH(C70,Customers!$A$5:$A$204,0)),"?"))</f>
        <v/>
      </c>
      <c r="O70" s="38" t="str">
        <f aca="false">IF(A70="","",IF(N70=Settings!$B$17,"No","Yes"))</f>
        <v/>
      </c>
      <c r="P70" s="35" t="n">
        <f aca="false">IF(O70="Yes",ROUND(L70*M70,2),0)</f>
        <v>0</v>
      </c>
      <c r="Q70" s="35" t="n">
        <f aca="false">IF(O70="No",ROUND(L70*M70/2,2),0)</f>
        <v>0</v>
      </c>
      <c r="R70" s="35" t="n">
        <f aca="false">Q70</f>
        <v>0</v>
      </c>
      <c r="S70" s="35" t="n">
        <f aca="false">L70+P70+Q70+R70</f>
        <v>0</v>
      </c>
      <c r="T70" s="34" t="str">
        <f aca="false">IF(A70="","",IFERROR(INDEX(Customers!$B$5:$B$204,MATCH(C70,Customers!$A$5:$A$204,0))&amp;"",""))</f>
        <v/>
      </c>
      <c r="U70" s="38" t="str">
        <f aca="false">IF(A70="","",IF(T70&lt;&gt;"","B2B",IF(AND(O70="Yes",SUMIF($A$5:$A$1004,A70,$L$5:$L$1004)+SUMIF($A$5:$A$1004,A70,$P$5:$P$1004)&gt;100000),"B2CL","B2CS")))</f>
        <v/>
      </c>
      <c r="V70" s="17" t="str">
        <f aca="false">IF(A70="","",TEXT(B70,"mmm-yyyy"))</f>
        <v/>
      </c>
    </row>
    <row r="71" customFormat="false" ht="15" hidden="false" customHeight="true" outlineLevel="0" collapsed="false">
      <c r="A71" s="24"/>
      <c r="B71" s="39"/>
      <c r="C71" s="24"/>
      <c r="D71" s="24"/>
      <c r="E71" s="40"/>
      <c r="F71" s="29"/>
      <c r="G71" s="30"/>
      <c r="H71" s="17" t="str">
        <f aca="false">IF(A71="","",A71&amp;"|"&amp;COUNTIF(A$5:A71,A71))</f>
        <v/>
      </c>
      <c r="I71" s="33" t="str">
        <f aca="false">IF(A71="","",IFERROR(INDEX(Items!$B$5:$B$304,MATCH(D71,Items!$A$5:$A$304,0))&amp;"",""))</f>
        <v/>
      </c>
      <c r="J71" s="34" t="str">
        <f aca="false">IF(A71="","",IFERROR(INDEX(Items!$C$5:$C$304,MATCH(D71,Items!$A$5:$A$304,0))&amp;"",""))</f>
        <v/>
      </c>
      <c r="K71" s="35" t="n">
        <f aca="false">IF(A71="",0,IF(ISNUMBER(F71),F71,IFERROR(INDEX(Items!$D$5:$D$304,MATCH(D71,Items!$A$5:$A$304,0)),0)))</f>
        <v>0</v>
      </c>
      <c r="L71" s="35" t="n">
        <f aca="false">ROUND(N(E71)*K71*(1-N(G71)),2)</f>
        <v>0</v>
      </c>
      <c r="M71" s="36" t="n">
        <f aca="false">IF(A71="",0,IFERROR(INDEX(Items!$E$5:$E$304,MATCH(D71,Items!$A$5:$A$304,0)),0))</f>
        <v>0</v>
      </c>
      <c r="N71" s="37" t="str">
        <f aca="false">IF(A71="","",IFERROR(INDEX(Customers!$E$5:$E$204,MATCH(C71,Customers!$A$5:$A$204,0)),"?"))</f>
        <v/>
      </c>
      <c r="O71" s="38" t="str">
        <f aca="false">IF(A71="","",IF(N71=Settings!$B$17,"No","Yes"))</f>
        <v/>
      </c>
      <c r="P71" s="35" t="n">
        <f aca="false">IF(O71="Yes",ROUND(L71*M71,2),0)</f>
        <v>0</v>
      </c>
      <c r="Q71" s="35" t="n">
        <f aca="false">IF(O71="No",ROUND(L71*M71/2,2),0)</f>
        <v>0</v>
      </c>
      <c r="R71" s="35" t="n">
        <f aca="false">Q71</f>
        <v>0</v>
      </c>
      <c r="S71" s="35" t="n">
        <f aca="false">L71+P71+Q71+R71</f>
        <v>0</v>
      </c>
      <c r="T71" s="34" t="str">
        <f aca="false">IF(A71="","",IFERROR(INDEX(Customers!$B$5:$B$204,MATCH(C71,Customers!$A$5:$A$204,0))&amp;"",""))</f>
        <v/>
      </c>
      <c r="U71" s="38" t="str">
        <f aca="false">IF(A71="","",IF(T71&lt;&gt;"","B2B",IF(AND(O71="Yes",SUMIF($A$5:$A$1004,A71,$L$5:$L$1004)+SUMIF($A$5:$A$1004,A71,$P$5:$P$1004)&gt;100000),"B2CL","B2CS")))</f>
        <v/>
      </c>
      <c r="V71" s="17" t="str">
        <f aca="false">IF(A71="","",TEXT(B71,"mmm-yyyy"))</f>
        <v/>
      </c>
    </row>
    <row r="72" customFormat="false" ht="15" hidden="false" customHeight="true" outlineLevel="0" collapsed="false">
      <c r="A72" s="24"/>
      <c r="B72" s="39"/>
      <c r="C72" s="24"/>
      <c r="D72" s="24"/>
      <c r="E72" s="40"/>
      <c r="F72" s="29"/>
      <c r="G72" s="30"/>
      <c r="H72" s="17" t="str">
        <f aca="false">IF(A72="","",A72&amp;"|"&amp;COUNTIF(A$5:A72,A72))</f>
        <v/>
      </c>
      <c r="I72" s="33" t="str">
        <f aca="false">IF(A72="","",IFERROR(INDEX(Items!$B$5:$B$304,MATCH(D72,Items!$A$5:$A$304,0))&amp;"",""))</f>
        <v/>
      </c>
      <c r="J72" s="34" t="str">
        <f aca="false">IF(A72="","",IFERROR(INDEX(Items!$C$5:$C$304,MATCH(D72,Items!$A$5:$A$304,0))&amp;"",""))</f>
        <v/>
      </c>
      <c r="K72" s="35" t="n">
        <f aca="false">IF(A72="",0,IF(ISNUMBER(F72),F72,IFERROR(INDEX(Items!$D$5:$D$304,MATCH(D72,Items!$A$5:$A$304,0)),0)))</f>
        <v>0</v>
      </c>
      <c r="L72" s="35" t="n">
        <f aca="false">ROUND(N(E72)*K72*(1-N(G72)),2)</f>
        <v>0</v>
      </c>
      <c r="M72" s="36" t="n">
        <f aca="false">IF(A72="",0,IFERROR(INDEX(Items!$E$5:$E$304,MATCH(D72,Items!$A$5:$A$304,0)),0))</f>
        <v>0</v>
      </c>
      <c r="N72" s="37" t="str">
        <f aca="false">IF(A72="","",IFERROR(INDEX(Customers!$E$5:$E$204,MATCH(C72,Customers!$A$5:$A$204,0)),"?"))</f>
        <v/>
      </c>
      <c r="O72" s="38" t="str">
        <f aca="false">IF(A72="","",IF(N72=Settings!$B$17,"No","Yes"))</f>
        <v/>
      </c>
      <c r="P72" s="35" t="n">
        <f aca="false">IF(O72="Yes",ROUND(L72*M72,2),0)</f>
        <v>0</v>
      </c>
      <c r="Q72" s="35" t="n">
        <f aca="false">IF(O72="No",ROUND(L72*M72/2,2),0)</f>
        <v>0</v>
      </c>
      <c r="R72" s="35" t="n">
        <f aca="false">Q72</f>
        <v>0</v>
      </c>
      <c r="S72" s="35" t="n">
        <f aca="false">L72+P72+Q72+R72</f>
        <v>0</v>
      </c>
      <c r="T72" s="34" t="str">
        <f aca="false">IF(A72="","",IFERROR(INDEX(Customers!$B$5:$B$204,MATCH(C72,Customers!$A$5:$A$204,0))&amp;"",""))</f>
        <v/>
      </c>
      <c r="U72" s="38" t="str">
        <f aca="false">IF(A72="","",IF(T72&lt;&gt;"","B2B",IF(AND(O72="Yes",SUMIF($A$5:$A$1004,A72,$L$5:$L$1004)+SUMIF($A$5:$A$1004,A72,$P$5:$P$1004)&gt;100000),"B2CL","B2CS")))</f>
        <v/>
      </c>
      <c r="V72" s="17" t="str">
        <f aca="false">IF(A72="","",TEXT(B72,"mmm-yyyy"))</f>
        <v/>
      </c>
    </row>
    <row r="73" customFormat="false" ht="15" hidden="false" customHeight="true" outlineLevel="0" collapsed="false">
      <c r="A73" s="24"/>
      <c r="B73" s="39"/>
      <c r="C73" s="24"/>
      <c r="D73" s="24"/>
      <c r="E73" s="40"/>
      <c r="F73" s="29"/>
      <c r="G73" s="30"/>
      <c r="H73" s="17" t="str">
        <f aca="false">IF(A73="","",A73&amp;"|"&amp;COUNTIF(A$5:A73,A73))</f>
        <v/>
      </c>
      <c r="I73" s="33" t="str">
        <f aca="false">IF(A73="","",IFERROR(INDEX(Items!$B$5:$B$304,MATCH(D73,Items!$A$5:$A$304,0))&amp;"",""))</f>
        <v/>
      </c>
      <c r="J73" s="34" t="str">
        <f aca="false">IF(A73="","",IFERROR(INDEX(Items!$C$5:$C$304,MATCH(D73,Items!$A$5:$A$304,0))&amp;"",""))</f>
        <v/>
      </c>
      <c r="K73" s="35" t="n">
        <f aca="false">IF(A73="",0,IF(ISNUMBER(F73),F73,IFERROR(INDEX(Items!$D$5:$D$304,MATCH(D73,Items!$A$5:$A$304,0)),0)))</f>
        <v>0</v>
      </c>
      <c r="L73" s="35" t="n">
        <f aca="false">ROUND(N(E73)*K73*(1-N(G73)),2)</f>
        <v>0</v>
      </c>
      <c r="M73" s="36" t="n">
        <f aca="false">IF(A73="",0,IFERROR(INDEX(Items!$E$5:$E$304,MATCH(D73,Items!$A$5:$A$304,0)),0))</f>
        <v>0</v>
      </c>
      <c r="N73" s="37" t="str">
        <f aca="false">IF(A73="","",IFERROR(INDEX(Customers!$E$5:$E$204,MATCH(C73,Customers!$A$5:$A$204,0)),"?"))</f>
        <v/>
      </c>
      <c r="O73" s="38" t="str">
        <f aca="false">IF(A73="","",IF(N73=Settings!$B$17,"No","Yes"))</f>
        <v/>
      </c>
      <c r="P73" s="35" t="n">
        <f aca="false">IF(O73="Yes",ROUND(L73*M73,2),0)</f>
        <v>0</v>
      </c>
      <c r="Q73" s="35" t="n">
        <f aca="false">IF(O73="No",ROUND(L73*M73/2,2),0)</f>
        <v>0</v>
      </c>
      <c r="R73" s="35" t="n">
        <f aca="false">Q73</f>
        <v>0</v>
      </c>
      <c r="S73" s="35" t="n">
        <f aca="false">L73+P73+Q73+R73</f>
        <v>0</v>
      </c>
      <c r="T73" s="34" t="str">
        <f aca="false">IF(A73="","",IFERROR(INDEX(Customers!$B$5:$B$204,MATCH(C73,Customers!$A$5:$A$204,0))&amp;"",""))</f>
        <v/>
      </c>
      <c r="U73" s="38" t="str">
        <f aca="false">IF(A73="","",IF(T73&lt;&gt;"","B2B",IF(AND(O73="Yes",SUMIF($A$5:$A$1004,A73,$L$5:$L$1004)+SUMIF($A$5:$A$1004,A73,$P$5:$P$1004)&gt;100000),"B2CL","B2CS")))</f>
        <v/>
      </c>
      <c r="V73" s="17" t="str">
        <f aca="false">IF(A73="","",TEXT(B73,"mmm-yyyy"))</f>
        <v/>
      </c>
    </row>
    <row r="74" customFormat="false" ht="15" hidden="false" customHeight="true" outlineLevel="0" collapsed="false">
      <c r="A74" s="24"/>
      <c r="B74" s="39"/>
      <c r="C74" s="24"/>
      <c r="D74" s="24"/>
      <c r="E74" s="40"/>
      <c r="F74" s="29"/>
      <c r="G74" s="30"/>
      <c r="H74" s="17" t="str">
        <f aca="false">IF(A74="","",A74&amp;"|"&amp;COUNTIF(A$5:A74,A74))</f>
        <v/>
      </c>
      <c r="I74" s="33" t="str">
        <f aca="false">IF(A74="","",IFERROR(INDEX(Items!$B$5:$B$304,MATCH(D74,Items!$A$5:$A$304,0))&amp;"",""))</f>
        <v/>
      </c>
      <c r="J74" s="34" t="str">
        <f aca="false">IF(A74="","",IFERROR(INDEX(Items!$C$5:$C$304,MATCH(D74,Items!$A$5:$A$304,0))&amp;"",""))</f>
        <v/>
      </c>
      <c r="K74" s="35" t="n">
        <f aca="false">IF(A74="",0,IF(ISNUMBER(F74),F74,IFERROR(INDEX(Items!$D$5:$D$304,MATCH(D74,Items!$A$5:$A$304,0)),0)))</f>
        <v>0</v>
      </c>
      <c r="L74" s="35" t="n">
        <f aca="false">ROUND(N(E74)*K74*(1-N(G74)),2)</f>
        <v>0</v>
      </c>
      <c r="M74" s="36" t="n">
        <f aca="false">IF(A74="",0,IFERROR(INDEX(Items!$E$5:$E$304,MATCH(D74,Items!$A$5:$A$304,0)),0))</f>
        <v>0</v>
      </c>
      <c r="N74" s="37" t="str">
        <f aca="false">IF(A74="","",IFERROR(INDEX(Customers!$E$5:$E$204,MATCH(C74,Customers!$A$5:$A$204,0)),"?"))</f>
        <v/>
      </c>
      <c r="O74" s="38" t="str">
        <f aca="false">IF(A74="","",IF(N74=Settings!$B$17,"No","Yes"))</f>
        <v/>
      </c>
      <c r="P74" s="35" t="n">
        <f aca="false">IF(O74="Yes",ROUND(L74*M74,2),0)</f>
        <v>0</v>
      </c>
      <c r="Q74" s="35" t="n">
        <f aca="false">IF(O74="No",ROUND(L74*M74/2,2),0)</f>
        <v>0</v>
      </c>
      <c r="R74" s="35" t="n">
        <f aca="false">Q74</f>
        <v>0</v>
      </c>
      <c r="S74" s="35" t="n">
        <f aca="false">L74+P74+Q74+R74</f>
        <v>0</v>
      </c>
      <c r="T74" s="34" t="str">
        <f aca="false">IF(A74="","",IFERROR(INDEX(Customers!$B$5:$B$204,MATCH(C74,Customers!$A$5:$A$204,0))&amp;"",""))</f>
        <v/>
      </c>
      <c r="U74" s="38" t="str">
        <f aca="false">IF(A74="","",IF(T74&lt;&gt;"","B2B",IF(AND(O74="Yes",SUMIF($A$5:$A$1004,A74,$L$5:$L$1004)+SUMIF($A$5:$A$1004,A74,$P$5:$P$1004)&gt;100000),"B2CL","B2CS")))</f>
        <v/>
      </c>
      <c r="V74" s="17" t="str">
        <f aca="false">IF(A74="","",TEXT(B74,"mmm-yyyy"))</f>
        <v/>
      </c>
    </row>
    <row r="75" customFormat="false" ht="15" hidden="false" customHeight="true" outlineLevel="0" collapsed="false">
      <c r="A75" s="24"/>
      <c r="B75" s="39"/>
      <c r="C75" s="24"/>
      <c r="D75" s="24"/>
      <c r="E75" s="40"/>
      <c r="F75" s="29"/>
      <c r="G75" s="30"/>
      <c r="H75" s="17" t="str">
        <f aca="false">IF(A75="","",A75&amp;"|"&amp;COUNTIF(A$5:A75,A75))</f>
        <v/>
      </c>
      <c r="I75" s="33" t="str">
        <f aca="false">IF(A75="","",IFERROR(INDEX(Items!$B$5:$B$304,MATCH(D75,Items!$A$5:$A$304,0))&amp;"",""))</f>
        <v/>
      </c>
      <c r="J75" s="34" t="str">
        <f aca="false">IF(A75="","",IFERROR(INDEX(Items!$C$5:$C$304,MATCH(D75,Items!$A$5:$A$304,0))&amp;"",""))</f>
        <v/>
      </c>
      <c r="K75" s="35" t="n">
        <f aca="false">IF(A75="",0,IF(ISNUMBER(F75),F75,IFERROR(INDEX(Items!$D$5:$D$304,MATCH(D75,Items!$A$5:$A$304,0)),0)))</f>
        <v>0</v>
      </c>
      <c r="L75" s="35" t="n">
        <f aca="false">ROUND(N(E75)*K75*(1-N(G75)),2)</f>
        <v>0</v>
      </c>
      <c r="M75" s="36" t="n">
        <f aca="false">IF(A75="",0,IFERROR(INDEX(Items!$E$5:$E$304,MATCH(D75,Items!$A$5:$A$304,0)),0))</f>
        <v>0</v>
      </c>
      <c r="N75" s="37" t="str">
        <f aca="false">IF(A75="","",IFERROR(INDEX(Customers!$E$5:$E$204,MATCH(C75,Customers!$A$5:$A$204,0)),"?"))</f>
        <v/>
      </c>
      <c r="O75" s="38" t="str">
        <f aca="false">IF(A75="","",IF(N75=Settings!$B$17,"No","Yes"))</f>
        <v/>
      </c>
      <c r="P75" s="35" t="n">
        <f aca="false">IF(O75="Yes",ROUND(L75*M75,2),0)</f>
        <v>0</v>
      </c>
      <c r="Q75" s="35" t="n">
        <f aca="false">IF(O75="No",ROUND(L75*M75/2,2),0)</f>
        <v>0</v>
      </c>
      <c r="R75" s="35" t="n">
        <f aca="false">Q75</f>
        <v>0</v>
      </c>
      <c r="S75" s="35" t="n">
        <f aca="false">L75+P75+Q75+R75</f>
        <v>0</v>
      </c>
      <c r="T75" s="34" t="str">
        <f aca="false">IF(A75="","",IFERROR(INDEX(Customers!$B$5:$B$204,MATCH(C75,Customers!$A$5:$A$204,0))&amp;"",""))</f>
        <v/>
      </c>
      <c r="U75" s="38" t="str">
        <f aca="false">IF(A75="","",IF(T75&lt;&gt;"","B2B",IF(AND(O75="Yes",SUMIF($A$5:$A$1004,A75,$L$5:$L$1004)+SUMIF($A$5:$A$1004,A75,$P$5:$P$1004)&gt;100000),"B2CL","B2CS")))</f>
        <v/>
      </c>
      <c r="V75" s="17" t="str">
        <f aca="false">IF(A75="","",TEXT(B75,"mmm-yyyy"))</f>
        <v/>
      </c>
    </row>
    <row r="76" customFormat="false" ht="15" hidden="false" customHeight="true" outlineLevel="0" collapsed="false">
      <c r="A76" s="24"/>
      <c r="B76" s="39"/>
      <c r="C76" s="24"/>
      <c r="D76" s="24"/>
      <c r="E76" s="40"/>
      <c r="F76" s="29"/>
      <c r="G76" s="30"/>
      <c r="H76" s="17" t="str">
        <f aca="false">IF(A76="","",A76&amp;"|"&amp;COUNTIF(A$5:A76,A76))</f>
        <v/>
      </c>
      <c r="I76" s="33" t="str">
        <f aca="false">IF(A76="","",IFERROR(INDEX(Items!$B$5:$B$304,MATCH(D76,Items!$A$5:$A$304,0))&amp;"",""))</f>
        <v/>
      </c>
      <c r="J76" s="34" t="str">
        <f aca="false">IF(A76="","",IFERROR(INDEX(Items!$C$5:$C$304,MATCH(D76,Items!$A$5:$A$304,0))&amp;"",""))</f>
        <v/>
      </c>
      <c r="K76" s="35" t="n">
        <f aca="false">IF(A76="",0,IF(ISNUMBER(F76),F76,IFERROR(INDEX(Items!$D$5:$D$304,MATCH(D76,Items!$A$5:$A$304,0)),0)))</f>
        <v>0</v>
      </c>
      <c r="L76" s="35" t="n">
        <f aca="false">ROUND(N(E76)*K76*(1-N(G76)),2)</f>
        <v>0</v>
      </c>
      <c r="M76" s="36" t="n">
        <f aca="false">IF(A76="",0,IFERROR(INDEX(Items!$E$5:$E$304,MATCH(D76,Items!$A$5:$A$304,0)),0))</f>
        <v>0</v>
      </c>
      <c r="N76" s="37" t="str">
        <f aca="false">IF(A76="","",IFERROR(INDEX(Customers!$E$5:$E$204,MATCH(C76,Customers!$A$5:$A$204,0)),"?"))</f>
        <v/>
      </c>
      <c r="O76" s="38" t="str">
        <f aca="false">IF(A76="","",IF(N76=Settings!$B$17,"No","Yes"))</f>
        <v/>
      </c>
      <c r="P76" s="35" t="n">
        <f aca="false">IF(O76="Yes",ROUND(L76*M76,2),0)</f>
        <v>0</v>
      </c>
      <c r="Q76" s="35" t="n">
        <f aca="false">IF(O76="No",ROUND(L76*M76/2,2),0)</f>
        <v>0</v>
      </c>
      <c r="R76" s="35" t="n">
        <f aca="false">Q76</f>
        <v>0</v>
      </c>
      <c r="S76" s="35" t="n">
        <f aca="false">L76+P76+Q76+R76</f>
        <v>0</v>
      </c>
      <c r="T76" s="34" t="str">
        <f aca="false">IF(A76="","",IFERROR(INDEX(Customers!$B$5:$B$204,MATCH(C76,Customers!$A$5:$A$204,0))&amp;"",""))</f>
        <v/>
      </c>
      <c r="U76" s="38" t="str">
        <f aca="false">IF(A76="","",IF(T76&lt;&gt;"","B2B",IF(AND(O76="Yes",SUMIF($A$5:$A$1004,A76,$L$5:$L$1004)+SUMIF($A$5:$A$1004,A76,$P$5:$P$1004)&gt;100000),"B2CL","B2CS")))</f>
        <v/>
      </c>
      <c r="V76" s="17" t="str">
        <f aca="false">IF(A76="","",TEXT(B76,"mmm-yyyy"))</f>
        <v/>
      </c>
    </row>
    <row r="77" customFormat="false" ht="15" hidden="false" customHeight="true" outlineLevel="0" collapsed="false">
      <c r="A77" s="24"/>
      <c r="B77" s="39"/>
      <c r="C77" s="24"/>
      <c r="D77" s="24"/>
      <c r="E77" s="40"/>
      <c r="F77" s="29"/>
      <c r="G77" s="30"/>
      <c r="H77" s="17" t="str">
        <f aca="false">IF(A77="","",A77&amp;"|"&amp;COUNTIF(A$5:A77,A77))</f>
        <v/>
      </c>
      <c r="I77" s="33" t="str">
        <f aca="false">IF(A77="","",IFERROR(INDEX(Items!$B$5:$B$304,MATCH(D77,Items!$A$5:$A$304,0))&amp;"",""))</f>
        <v/>
      </c>
      <c r="J77" s="34" t="str">
        <f aca="false">IF(A77="","",IFERROR(INDEX(Items!$C$5:$C$304,MATCH(D77,Items!$A$5:$A$304,0))&amp;"",""))</f>
        <v/>
      </c>
      <c r="K77" s="35" t="n">
        <f aca="false">IF(A77="",0,IF(ISNUMBER(F77),F77,IFERROR(INDEX(Items!$D$5:$D$304,MATCH(D77,Items!$A$5:$A$304,0)),0)))</f>
        <v>0</v>
      </c>
      <c r="L77" s="35" t="n">
        <f aca="false">ROUND(N(E77)*K77*(1-N(G77)),2)</f>
        <v>0</v>
      </c>
      <c r="M77" s="36" t="n">
        <f aca="false">IF(A77="",0,IFERROR(INDEX(Items!$E$5:$E$304,MATCH(D77,Items!$A$5:$A$304,0)),0))</f>
        <v>0</v>
      </c>
      <c r="N77" s="37" t="str">
        <f aca="false">IF(A77="","",IFERROR(INDEX(Customers!$E$5:$E$204,MATCH(C77,Customers!$A$5:$A$204,0)),"?"))</f>
        <v/>
      </c>
      <c r="O77" s="38" t="str">
        <f aca="false">IF(A77="","",IF(N77=Settings!$B$17,"No","Yes"))</f>
        <v/>
      </c>
      <c r="P77" s="35" t="n">
        <f aca="false">IF(O77="Yes",ROUND(L77*M77,2),0)</f>
        <v>0</v>
      </c>
      <c r="Q77" s="35" t="n">
        <f aca="false">IF(O77="No",ROUND(L77*M77/2,2),0)</f>
        <v>0</v>
      </c>
      <c r="R77" s="35" t="n">
        <f aca="false">Q77</f>
        <v>0</v>
      </c>
      <c r="S77" s="35" t="n">
        <f aca="false">L77+P77+Q77+R77</f>
        <v>0</v>
      </c>
      <c r="T77" s="34" t="str">
        <f aca="false">IF(A77="","",IFERROR(INDEX(Customers!$B$5:$B$204,MATCH(C77,Customers!$A$5:$A$204,0))&amp;"",""))</f>
        <v/>
      </c>
      <c r="U77" s="38" t="str">
        <f aca="false">IF(A77="","",IF(T77&lt;&gt;"","B2B",IF(AND(O77="Yes",SUMIF($A$5:$A$1004,A77,$L$5:$L$1004)+SUMIF($A$5:$A$1004,A77,$P$5:$P$1004)&gt;100000),"B2CL","B2CS")))</f>
        <v/>
      </c>
      <c r="V77" s="17" t="str">
        <f aca="false">IF(A77="","",TEXT(B77,"mmm-yyyy"))</f>
        <v/>
      </c>
    </row>
    <row r="78" customFormat="false" ht="15" hidden="false" customHeight="true" outlineLevel="0" collapsed="false">
      <c r="A78" s="24"/>
      <c r="B78" s="39"/>
      <c r="C78" s="24"/>
      <c r="D78" s="24"/>
      <c r="E78" s="40"/>
      <c r="F78" s="29"/>
      <c r="G78" s="30"/>
      <c r="H78" s="17" t="str">
        <f aca="false">IF(A78="","",A78&amp;"|"&amp;COUNTIF(A$5:A78,A78))</f>
        <v/>
      </c>
      <c r="I78" s="33" t="str">
        <f aca="false">IF(A78="","",IFERROR(INDEX(Items!$B$5:$B$304,MATCH(D78,Items!$A$5:$A$304,0))&amp;"",""))</f>
        <v/>
      </c>
      <c r="J78" s="34" t="str">
        <f aca="false">IF(A78="","",IFERROR(INDEX(Items!$C$5:$C$304,MATCH(D78,Items!$A$5:$A$304,0))&amp;"",""))</f>
        <v/>
      </c>
      <c r="K78" s="35" t="n">
        <f aca="false">IF(A78="",0,IF(ISNUMBER(F78),F78,IFERROR(INDEX(Items!$D$5:$D$304,MATCH(D78,Items!$A$5:$A$304,0)),0)))</f>
        <v>0</v>
      </c>
      <c r="L78" s="35" t="n">
        <f aca="false">ROUND(N(E78)*K78*(1-N(G78)),2)</f>
        <v>0</v>
      </c>
      <c r="M78" s="36" t="n">
        <f aca="false">IF(A78="",0,IFERROR(INDEX(Items!$E$5:$E$304,MATCH(D78,Items!$A$5:$A$304,0)),0))</f>
        <v>0</v>
      </c>
      <c r="N78" s="37" t="str">
        <f aca="false">IF(A78="","",IFERROR(INDEX(Customers!$E$5:$E$204,MATCH(C78,Customers!$A$5:$A$204,0)),"?"))</f>
        <v/>
      </c>
      <c r="O78" s="38" t="str">
        <f aca="false">IF(A78="","",IF(N78=Settings!$B$17,"No","Yes"))</f>
        <v/>
      </c>
      <c r="P78" s="35" t="n">
        <f aca="false">IF(O78="Yes",ROUND(L78*M78,2),0)</f>
        <v>0</v>
      </c>
      <c r="Q78" s="35" t="n">
        <f aca="false">IF(O78="No",ROUND(L78*M78/2,2),0)</f>
        <v>0</v>
      </c>
      <c r="R78" s="35" t="n">
        <f aca="false">Q78</f>
        <v>0</v>
      </c>
      <c r="S78" s="35" t="n">
        <f aca="false">L78+P78+Q78+R78</f>
        <v>0</v>
      </c>
      <c r="T78" s="34" t="str">
        <f aca="false">IF(A78="","",IFERROR(INDEX(Customers!$B$5:$B$204,MATCH(C78,Customers!$A$5:$A$204,0))&amp;"",""))</f>
        <v/>
      </c>
      <c r="U78" s="38" t="str">
        <f aca="false">IF(A78="","",IF(T78&lt;&gt;"","B2B",IF(AND(O78="Yes",SUMIF($A$5:$A$1004,A78,$L$5:$L$1004)+SUMIF($A$5:$A$1004,A78,$P$5:$P$1004)&gt;100000),"B2CL","B2CS")))</f>
        <v/>
      </c>
      <c r="V78" s="17" t="str">
        <f aca="false">IF(A78="","",TEXT(B78,"mmm-yyyy"))</f>
        <v/>
      </c>
    </row>
    <row r="79" customFormat="false" ht="15" hidden="false" customHeight="true" outlineLevel="0" collapsed="false">
      <c r="A79" s="24"/>
      <c r="B79" s="39"/>
      <c r="C79" s="24"/>
      <c r="D79" s="24"/>
      <c r="E79" s="40"/>
      <c r="F79" s="29"/>
      <c r="G79" s="30"/>
      <c r="H79" s="17" t="str">
        <f aca="false">IF(A79="","",A79&amp;"|"&amp;COUNTIF(A$5:A79,A79))</f>
        <v/>
      </c>
      <c r="I79" s="33" t="str">
        <f aca="false">IF(A79="","",IFERROR(INDEX(Items!$B$5:$B$304,MATCH(D79,Items!$A$5:$A$304,0))&amp;"",""))</f>
        <v/>
      </c>
      <c r="J79" s="34" t="str">
        <f aca="false">IF(A79="","",IFERROR(INDEX(Items!$C$5:$C$304,MATCH(D79,Items!$A$5:$A$304,0))&amp;"",""))</f>
        <v/>
      </c>
      <c r="K79" s="35" t="n">
        <f aca="false">IF(A79="",0,IF(ISNUMBER(F79),F79,IFERROR(INDEX(Items!$D$5:$D$304,MATCH(D79,Items!$A$5:$A$304,0)),0)))</f>
        <v>0</v>
      </c>
      <c r="L79" s="35" t="n">
        <f aca="false">ROUND(N(E79)*K79*(1-N(G79)),2)</f>
        <v>0</v>
      </c>
      <c r="M79" s="36" t="n">
        <f aca="false">IF(A79="",0,IFERROR(INDEX(Items!$E$5:$E$304,MATCH(D79,Items!$A$5:$A$304,0)),0))</f>
        <v>0</v>
      </c>
      <c r="N79" s="37" t="str">
        <f aca="false">IF(A79="","",IFERROR(INDEX(Customers!$E$5:$E$204,MATCH(C79,Customers!$A$5:$A$204,0)),"?"))</f>
        <v/>
      </c>
      <c r="O79" s="38" t="str">
        <f aca="false">IF(A79="","",IF(N79=Settings!$B$17,"No","Yes"))</f>
        <v/>
      </c>
      <c r="P79" s="35" t="n">
        <f aca="false">IF(O79="Yes",ROUND(L79*M79,2),0)</f>
        <v>0</v>
      </c>
      <c r="Q79" s="35" t="n">
        <f aca="false">IF(O79="No",ROUND(L79*M79/2,2),0)</f>
        <v>0</v>
      </c>
      <c r="R79" s="35" t="n">
        <f aca="false">Q79</f>
        <v>0</v>
      </c>
      <c r="S79" s="35" t="n">
        <f aca="false">L79+P79+Q79+R79</f>
        <v>0</v>
      </c>
      <c r="T79" s="34" t="str">
        <f aca="false">IF(A79="","",IFERROR(INDEX(Customers!$B$5:$B$204,MATCH(C79,Customers!$A$5:$A$204,0))&amp;"",""))</f>
        <v/>
      </c>
      <c r="U79" s="38" t="str">
        <f aca="false">IF(A79="","",IF(T79&lt;&gt;"","B2B",IF(AND(O79="Yes",SUMIF($A$5:$A$1004,A79,$L$5:$L$1004)+SUMIF($A$5:$A$1004,A79,$P$5:$P$1004)&gt;100000),"B2CL","B2CS")))</f>
        <v/>
      </c>
      <c r="V79" s="17" t="str">
        <f aca="false">IF(A79="","",TEXT(B79,"mmm-yyyy"))</f>
        <v/>
      </c>
    </row>
    <row r="80" customFormat="false" ht="15" hidden="false" customHeight="true" outlineLevel="0" collapsed="false">
      <c r="A80" s="24"/>
      <c r="B80" s="39"/>
      <c r="C80" s="24"/>
      <c r="D80" s="24"/>
      <c r="E80" s="40"/>
      <c r="F80" s="29"/>
      <c r="G80" s="30"/>
      <c r="H80" s="17" t="str">
        <f aca="false">IF(A80="","",A80&amp;"|"&amp;COUNTIF(A$5:A80,A80))</f>
        <v/>
      </c>
      <c r="I80" s="33" t="str">
        <f aca="false">IF(A80="","",IFERROR(INDEX(Items!$B$5:$B$304,MATCH(D80,Items!$A$5:$A$304,0))&amp;"",""))</f>
        <v/>
      </c>
      <c r="J80" s="34" t="str">
        <f aca="false">IF(A80="","",IFERROR(INDEX(Items!$C$5:$C$304,MATCH(D80,Items!$A$5:$A$304,0))&amp;"",""))</f>
        <v/>
      </c>
      <c r="K80" s="35" t="n">
        <f aca="false">IF(A80="",0,IF(ISNUMBER(F80),F80,IFERROR(INDEX(Items!$D$5:$D$304,MATCH(D80,Items!$A$5:$A$304,0)),0)))</f>
        <v>0</v>
      </c>
      <c r="L80" s="35" t="n">
        <f aca="false">ROUND(N(E80)*K80*(1-N(G80)),2)</f>
        <v>0</v>
      </c>
      <c r="M80" s="36" t="n">
        <f aca="false">IF(A80="",0,IFERROR(INDEX(Items!$E$5:$E$304,MATCH(D80,Items!$A$5:$A$304,0)),0))</f>
        <v>0</v>
      </c>
      <c r="N80" s="37" t="str">
        <f aca="false">IF(A80="","",IFERROR(INDEX(Customers!$E$5:$E$204,MATCH(C80,Customers!$A$5:$A$204,0)),"?"))</f>
        <v/>
      </c>
      <c r="O80" s="38" t="str">
        <f aca="false">IF(A80="","",IF(N80=Settings!$B$17,"No","Yes"))</f>
        <v/>
      </c>
      <c r="P80" s="35" t="n">
        <f aca="false">IF(O80="Yes",ROUND(L80*M80,2),0)</f>
        <v>0</v>
      </c>
      <c r="Q80" s="35" t="n">
        <f aca="false">IF(O80="No",ROUND(L80*M80/2,2),0)</f>
        <v>0</v>
      </c>
      <c r="R80" s="35" t="n">
        <f aca="false">Q80</f>
        <v>0</v>
      </c>
      <c r="S80" s="35" t="n">
        <f aca="false">L80+P80+Q80+R80</f>
        <v>0</v>
      </c>
      <c r="T80" s="34" t="str">
        <f aca="false">IF(A80="","",IFERROR(INDEX(Customers!$B$5:$B$204,MATCH(C80,Customers!$A$5:$A$204,0))&amp;"",""))</f>
        <v/>
      </c>
      <c r="U80" s="38" t="str">
        <f aca="false">IF(A80="","",IF(T80&lt;&gt;"","B2B",IF(AND(O80="Yes",SUMIF($A$5:$A$1004,A80,$L$5:$L$1004)+SUMIF($A$5:$A$1004,A80,$P$5:$P$1004)&gt;100000),"B2CL","B2CS")))</f>
        <v/>
      </c>
      <c r="V80" s="17" t="str">
        <f aca="false">IF(A80="","",TEXT(B80,"mmm-yyyy"))</f>
        <v/>
      </c>
    </row>
    <row r="81" customFormat="false" ht="15" hidden="false" customHeight="true" outlineLevel="0" collapsed="false">
      <c r="A81" s="24"/>
      <c r="B81" s="39"/>
      <c r="C81" s="24"/>
      <c r="D81" s="24"/>
      <c r="E81" s="40"/>
      <c r="F81" s="29"/>
      <c r="G81" s="30"/>
      <c r="H81" s="17" t="str">
        <f aca="false">IF(A81="","",A81&amp;"|"&amp;COUNTIF(A$5:A81,A81))</f>
        <v/>
      </c>
      <c r="I81" s="33" t="str">
        <f aca="false">IF(A81="","",IFERROR(INDEX(Items!$B$5:$B$304,MATCH(D81,Items!$A$5:$A$304,0))&amp;"",""))</f>
        <v/>
      </c>
      <c r="J81" s="34" t="str">
        <f aca="false">IF(A81="","",IFERROR(INDEX(Items!$C$5:$C$304,MATCH(D81,Items!$A$5:$A$304,0))&amp;"",""))</f>
        <v/>
      </c>
      <c r="K81" s="35" t="n">
        <f aca="false">IF(A81="",0,IF(ISNUMBER(F81),F81,IFERROR(INDEX(Items!$D$5:$D$304,MATCH(D81,Items!$A$5:$A$304,0)),0)))</f>
        <v>0</v>
      </c>
      <c r="L81" s="35" t="n">
        <f aca="false">ROUND(N(E81)*K81*(1-N(G81)),2)</f>
        <v>0</v>
      </c>
      <c r="M81" s="36" t="n">
        <f aca="false">IF(A81="",0,IFERROR(INDEX(Items!$E$5:$E$304,MATCH(D81,Items!$A$5:$A$304,0)),0))</f>
        <v>0</v>
      </c>
      <c r="N81" s="37" t="str">
        <f aca="false">IF(A81="","",IFERROR(INDEX(Customers!$E$5:$E$204,MATCH(C81,Customers!$A$5:$A$204,0)),"?"))</f>
        <v/>
      </c>
      <c r="O81" s="38" t="str">
        <f aca="false">IF(A81="","",IF(N81=Settings!$B$17,"No","Yes"))</f>
        <v/>
      </c>
      <c r="P81" s="35" t="n">
        <f aca="false">IF(O81="Yes",ROUND(L81*M81,2),0)</f>
        <v>0</v>
      </c>
      <c r="Q81" s="35" t="n">
        <f aca="false">IF(O81="No",ROUND(L81*M81/2,2),0)</f>
        <v>0</v>
      </c>
      <c r="R81" s="35" t="n">
        <f aca="false">Q81</f>
        <v>0</v>
      </c>
      <c r="S81" s="35" t="n">
        <f aca="false">L81+P81+Q81+R81</f>
        <v>0</v>
      </c>
      <c r="T81" s="34" t="str">
        <f aca="false">IF(A81="","",IFERROR(INDEX(Customers!$B$5:$B$204,MATCH(C81,Customers!$A$5:$A$204,0))&amp;"",""))</f>
        <v/>
      </c>
      <c r="U81" s="38" t="str">
        <f aca="false">IF(A81="","",IF(T81&lt;&gt;"","B2B",IF(AND(O81="Yes",SUMIF($A$5:$A$1004,A81,$L$5:$L$1004)+SUMIF($A$5:$A$1004,A81,$P$5:$P$1004)&gt;100000),"B2CL","B2CS")))</f>
        <v/>
      </c>
      <c r="V81" s="17" t="str">
        <f aca="false">IF(A81="","",TEXT(B81,"mmm-yyyy"))</f>
        <v/>
      </c>
    </row>
    <row r="82" customFormat="false" ht="15" hidden="false" customHeight="true" outlineLevel="0" collapsed="false">
      <c r="A82" s="24"/>
      <c r="B82" s="39"/>
      <c r="C82" s="24"/>
      <c r="D82" s="24"/>
      <c r="E82" s="40"/>
      <c r="F82" s="29"/>
      <c r="G82" s="30"/>
      <c r="H82" s="17" t="str">
        <f aca="false">IF(A82="","",A82&amp;"|"&amp;COUNTIF(A$5:A82,A82))</f>
        <v/>
      </c>
      <c r="I82" s="33" t="str">
        <f aca="false">IF(A82="","",IFERROR(INDEX(Items!$B$5:$B$304,MATCH(D82,Items!$A$5:$A$304,0))&amp;"",""))</f>
        <v/>
      </c>
      <c r="J82" s="34" t="str">
        <f aca="false">IF(A82="","",IFERROR(INDEX(Items!$C$5:$C$304,MATCH(D82,Items!$A$5:$A$304,0))&amp;"",""))</f>
        <v/>
      </c>
      <c r="K82" s="35" t="n">
        <f aca="false">IF(A82="",0,IF(ISNUMBER(F82),F82,IFERROR(INDEX(Items!$D$5:$D$304,MATCH(D82,Items!$A$5:$A$304,0)),0)))</f>
        <v>0</v>
      </c>
      <c r="L82" s="35" t="n">
        <f aca="false">ROUND(N(E82)*K82*(1-N(G82)),2)</f>
        <v>0</v>
      </c>
      <c r="M82" s="36" t="n">
        <f aca="false">IF(A82="",0,IFERROR(INDEX(Items!$E$5:$E$304,MATCH(D82,Items!$A$5:$A$304,0)),0))</f>
        <v>0</v>
      </c>
      <c r="N82" s="37" t="str">
        <f aca="false">IF(A82="","",IFERROR(INDEX(Customers!$E$5:$E$204,MATCH(C82,Customers!$A$5:$A$204,0)),"?"))</f>
        <v/>
      </c>
      <c r="O82" s="38" t="str">
        <f aca="false">IF(A82="","",IF(N82=Settings!$B$17,"No","Yes"))</f>
        <v/>
      </c>
      <c r="P82" s="35" t="n">
        <f aca="false">IF(O82="Yes",ROUND(L82*M82,2),0)</f>
        <v>0</v>
      </c>
      <c r="Q82" s="35" t="n">
        <f aca="false">IF(O82="No",ROUND(L82*M82/2,2),0)</f>
        <v>0</v>
      </c>
      <c r="R82" s="35" t="n">
        <f aca="false">Q82</f>
        <v>0</v>
      </c>
      <c r="S82" s="35" t="n">
        <f aca="false">L82+P82+Q82+R82</f>
        <v>0</v>
      </c>
      <c r="T82" s="34" t="str">
        <f aca="false">IF(A82="","",IFERROR(INDEX(Customers!$B$5:$B$204,MATCH(C82,Customers!$A$5:$A$204,0))&amp;"",""))</f>
        <v/>
      </c>
      <c r="U82" s="38" t="str">
        <f aca="false">IF(A82="","",IF(T82&lt;&gt;"","B2B",IF(AND(O82="Yes",SUMIF($A$5:$A$1004,A82,$L$5:$L$1004)+SUMIF($A$5:$A$1004,A82,$P$5:$P$1004)&gt;100000),"B2CL","B2CS")))</f>
        <v/>
      </c>
      <c r="V82" s="17" t="str">
        <f aca="false">IF(A82="","",TEXT(B82,"mmm-yyyy"))</f>
        <v/>
      </c>
    </row>
    <row r="83" customFormat="false" ht="15" hidden="false" customHeight="true" outlineLevel="0" collapsed="false">
      <c r="A83" s="24"/>
      <c r="B83" s="39"/>
      <c r="C83" s="24"/>
      <c r="D83" s="24"/>
      <c r="E83" s="40"/>
      <c r="F83" s="29"/>
      <c r="G83" s="30"/>
      <c r="H83" s="17" t="str">
        <f aca="false">IF(A83="","",A83&amp;"|"&amp;COUNTIF(A$5:A83,A83))</f>
        <v/>
      </c>
      <c r="I83" s="33" t="str">
        <f aca="false">IF(A83="","",IFERROR(INDEX(Items!$B$5:$B$304,MATCH(D83,Items!$A$5:$A$304,0))&amp;"",""))</f>
        <v/>
      </c>
      <c r="J83" s="34" t="str">
        <f aca="false">IF(A83="","",IFERROR(INDEX(Items!$C$5:$C$304,MATCH(D83,Items!$A$5:$A$304,0))&amp;"",""))</f>
        <v/>
      </c>
      <c r="K83" s="35" t="n">
        <f aca="false">IF(A83="",0,IF(ISNUMBER(F83),F83,IFERROR(INDEX(Items!$D$5:$D$304,MATCH(D83,Items!$A$5:$A$304,0)),0)))</f>
        <v>0</v>
      </c>
      <c r="L83" s="35" t="n">
        <f aca="false">ROUND(N(E83)*K83*(1-N(G83)),2)</f>
        <v>0</v>
      </c>
      <c r="M83" s="36" t="n">
        <f aca="false">IF(A83="",0,IFERROR(INDEX(Items!$E$5:$E$304,MATCH(D83,Items!$A$5:$A$304,0)),0))</f>
        <v>0</v>
      </c>
      <c r="N83" s="37" t="str">
        <f aca="false">IF(A83="","",IFERROR(INDEX(Customers!$E$5:$E$204,MATCH(C83,Customers!$A$5:$A$204,0)),"?"))</f>
        <v/>
      </c>
      <c r="O83" s="38" t="str">
        <f aca="false">IF(A83="","",IF(N83=Settings!$B$17,"No","Yes"))</f>
        <v/>
      </c>
      <c r="P83" s="35" t="n">
        <f aca="false">IF(O83="Yes",ROUND(L83*M83,2),0)</f>
        <v>0</v>
      </c>
      <c r="Q83" s="35" t="n">
        <f aca="false">IF(O83="No",ROUND(L83*M83/2,2),0)</f>
        <v>0</v>
      </c>
      <c r="R83" s="35" t="n">
        <f aca="false">Q83</f>
        <v>0</v>
      </c>
      <c r="S83" s="35" t="n">
        <f aca="false">L83+P83+Q83+R83</f>
        <v>0</v>
      </c>
      <c r="T83" s="34" t="str">
        <f aca="false">IF(A83="","",IFERROR(INDEX(Customers!$B$5:$B$204,MATCH(C83,Customers!$A$5:$A$204,0))&amp;"",""))</f>
        <v/>
      </c>
      <c r="U83" s="38" t="str">
        <f aca="false">IF(A83="","",IF(T83&lt;&gt;"","B2B",IF(AND(O83="Yes",SUMIF($A$5:$A$1004,A83,$L$5:$L$1004)+SUMIF($A$5:$A$1004,A83,$P$5:$P$1004)&gt;100000),"B2CL","B2CS")))</f>
        <v/>
      </c>
      <c r="V83" s="17" t="str">
        <f aca="false">IF(A83="","",TEXT(B83,"mmm-yyyy"))</f>
        <v/>
      </c>
    </row>
    <row r="84" customFormat="false" ht="15" hidden="false" customHeight="true" outlineLevel="0" collapsed="false">
      <c r="A84" s="24"/>
      <c r="B84" s="39"/>
      <c r="C84" s="24"/>
      <c r="D84" s="24"/>
      <c r="E84" s="40"/>
      <c r="F84" s="29"/>
      <c r="G84" s="30"/>
      <c r="H84" s="17" t="str">
        <f aca="false">IF(A84="","",A84&amp;"|"&amp;COUNTIF(A$5:A84,A84))</f>
        <v/>
      </c>
      <c r="I84" s="33" t="str">
        <f aca="false">IF(A84="","",IFERROR(INDEX(Items!$B$5:$B$304,MATCH(D84,Items!$A$5:$A$304,0))&amp;"",""))</f>
        <v/>
      </c>
      <c r="J84" s="34" t="str">
        <f aca="false">IF(A84="","",IFERROR(INDEX(Items!$C$5:$C$304,MATCH(D84,Items!$A$5:$A$304,0))&amp;"",""))</f>
        <v/>
      </c>
      <c r="K84" s="35" t="n">
        <f aca="false">IF(A84="",0,IF(ISNUMBER(F84),F84,IFERROR(INDEX(Items!$D$5:$D$304,MATCH(D84,Items!$A$5:$A$304,0)),0)))</f>
        <v>0</v>
      </c>
      <c r="L84" s="35" t="n">
        <f aca="false">ROUND(N(E84)*K84*(1-N(G84)),2)</f>
        <v>0</v>
      </c>
      <c r="M84" s="36" t="n">
        <f aca="false">IF(A84="",0,IFERROR(INDEX(Items!$E$5:$E$304,MATCH(D84,Items!$A$5:$A$304,0)),0))</f>
        <v>0</v>
      </c>
      <c r="N84" s="37" t="str">
        <f aca="false">IF(A84="","",IFERROR(INDEX(Customers!$E$5:$E$204,MATCH(C84,Customers!$A$5:$A$204,0)),"?"))</f>
        <v/>
      </c>
      <c r="O84" s="38" t="str">
        <f aca="false">IF(A84="","",IF(N84=Settings!$B$17,"No","Yes"))</f>
        <v/>
      </c>
      <c r="P84" s="35" t="n">
        <f aca="false">IF(O84="Yes",ROUND(L84*M84,2),0)</f>
        <v>0</v>
      </c>
      <c r="Q84" s="35" t="n">
        <f aca="false">IF(O84="No",ROUND(L84*M84/2,2),0)</f>
        <v>0</v>
      </c>
      <c r="R84" s="35" t="n">
        <f aca="false">Q84</f>
        <v>0</v>
      </c>
      <c r="S84" s="35" t="n">
        <f aca="false">L84+P84+Q84+R84</f>
        <v>0</v>
      </c>
      <c r="T84" s="34" t="str">
        <f aca="false">IF(A84="","",IFERROR(INDEX(Customers!$B$5:$B$204,MATCH(C84,Customers!$A$5:$A$204,0))&amp;"",""))</f>
        <v/>
      </c>
      <c r="U84" s="38" t="str">
        <f aca="false">IF(A84="","",IF(T84&lt;&gt;"","B2B",IF(AND(O84="Yes",SUMIF($A$5:$A$1004,A84,$L$5:$L$1004)+SUMIF($A$5:$A$1004,A84,$P$5:$P$1004)&gt;100000),"B2CL","B2CS")))</f>
        <v/>
      </c>
      <c r="V84" s="17" t="str">
        <f aca="false">IF(A84="","",TEXT(B84,"mmm-yyyy"))</f>
        <v/>
      </c>
    </row>
    <row r="85" customFormat="false" ht="15" hidden="false" customHeight="true" outlineLevel="0" collapsed="false">
      <c r="A85" s="24"/>
      <c r="B85" s="39"/>
      <c r="C85" s="24"/>
      <c r="D85" s="24"/>
      <c r="E85" s="40"/>
      <c r="F85" s="29"/>
      <c r="G85" s="30"/>
      <c r="H85" s="17" t="str">
        <f aca="false">IF(A85="","",A85&amp;"|"&amp;COUNTIF(A$5:A85,A85))</f>
        <v/>
      </c>
      <c r="I85" s="33" t="str">
        <f aca="false">IF(A85="","",IFERROR(INDEX(Items!$B$5:$B$304,MATCH(D85,Items!$A$5:$A$304,0))&amp;"",""))</f>
        <v/>
      </c>
      <c r="J85" s="34" t="str">
        <f aca="false">IF(A85="","",IFERROR(INDEX(Items!$C$5:$C$304,MATCH(D85,Items!$A$5:$A$304,0))&amp;"",""))</f>
        <v/>
      </c>
      <c r="K85" s="35" t="n">
        <f aca="false">IF(A85="",0,IF(ISNUMBER(F85),F85,IFERROR(INDEX(Items!$D$5:$D$304,MATCH(D85,Items!$A$5:$A$304,0)),0)))</f>
        <v>0</v>
      </c>
      <c r="L85" s="35" t="n">
        <f aca="false">ROUND(N(E85)*K85*(1-N(G85)),2)</f>
        <v>0</v>
      </c>
      <c r="M85" s="36" t="n">
        <f aca="false">IF(A85="",0,IFERROR(INDEX(Items!$E$5:$E$304,MATCH(D85,Items!$A$5:$A$304,0)),0))</f>
        <v>0</v>
      </c>
      <c r="N85" s="37" t="str">
        <f aca="false">IF(A85="","",IFERROR(INDEX(Customers!$E$5:$E$204,MATCH(C85,Customers!$A$5:$A$204,0)),"?"))</f>
        <v/>
      </c>
      <c r="O85" s="38" t="str">
        <f aca="false">IF(A85="","",IF(N85=Settings!$B$17,"No","Yes"))</f>
        <v/>
      </c>
      <c r="P85" s="35" t="n">
        <f aca="false">IF(O85="Yes",ROUND(L85*M85,2),0)</f>
        <v>0</v>
      </c>
      <c r="Q85" s="35" t="n">
        <f aca="false">IF(O85="No",ROUND(L85*M85/2,2),0)</f>
        <v>0</v>
      </c>
      <c r="R85" s="35" t="n">
        <f aca="false">Q85</f>
        <v>0</v>
      </c>
      <c r="S85" s="35" t="n">
        <f aca="false">L85+P85+Q85+R85</f>
        <v>0</v>
      </c>
      <c r="T85" s="34" t="str">
        <f aca="false">IF(A85="","",IFERROR(INDEX(Customers!$B$5:$B$204,MATCH(C85,Customers!$A$5:$A$204,0))&amp;"",""))</f>
        <v/>
      </c>
      <c r="U85" s="38" t="str">
        <f aca="false">IF(A85="","",IF(T85&lt;&gt;"","B2B",IF(AND(O85="Yes",SUMIF($A$5:$A$1004,A85,$L$5:$L$1004)+SUMIF($A$5:$A$1004,A85,$P$5:$P$1004)&gt;100000),"B2CL","B2CS")))</f>
        <v/>
      </c>
      <c r="V85" s="17" t="str">
        <f aca="false">IF(A85="","",TEXT(B85,"mmm-yyyy"))</f>
        <v/>
      </c>
    </row>
    <row r="86" customFormat="false" ht="15" hidden="false" customHeight="true" outlineLevel="0" collapsed="false">
      <c r="A86" s="24"/>
      <c r="B86" s="39"/>
      <c r="C86" s="24"/>
      <c r="D86" s="24"/>
      <c r="E86" s="40"/>
      <c r="F86" s="29"/>
      <c r="G86" s="30"/>
      <c r="H86" s="17" t="str">
        <f aca="false">IF(A86="","",A86&amp;"|"&amp;COUNTIF(A$5:A86,A86))</f>
        <v/>
      </c>
      <c r="I86" s="33" t="str">
        <f aca="false">IF(A86="","",IFERROR(INDEX(Items!$B$5:$B$304,MATCH(D86,Items!$A$5:$A$304,0))&amp;"",""))</f>
        <v/>
      </c>
      <c r="J86" s="34" t="str">
        <f aca="false">IF(A86="","",IFERROR(INDEX(Items!$C$5:$C$304,MATCH(D86,Items!$A$5:$A$304,0))&amp;"",""))</f>
        <v/>
      </c>
      <c r="K86" s="35" t="n">
        <f aca="false">IF(A86="",0,IF(ISNUMBER(F86),F86,IFERROR(INDEX(Items!$D$5:$D$304,MATCH(D86,Items!$A$5:$A$304,0)),0)))</f>
        <v>0</v>
      </c>
      <c r="L86" s="35" t="n">
        <f aca="false">ROUND(N(E86)*K86*(1-N(G86)),2)</f>
        <v>0</v>
      </c>
      <c r="M86" s="36" t="n">
        <f aca="false">IF(A86="",0,IFERROR(INDEX(Items!$E$5:$E$304,MATCH(D86,Items!$A$5:$A$304,0)),0))</f>
        <v>0</v>
      </c>
      <c r="N86" s="37" t="str">
        <f aca="false">IF(A86="","",IFERROR(INDEX(Customers!$E$5:$E$204,MATCH(C86,Customers!$A$5:$A$204,0)),"?"))</f>
        <v/>
      </c>
      <c r="O86" s="38" t="str">
        <f aca="false">IF(A86="","",IF(N86=Settings!$B$17,"No","Yes"))</f>
        <v/>
      </c>
      <c r="P86" s="35" t="n">
        <f aca="false">IF(O86="Yes",ROUND(L86*M86,2),0)</f>
        <v>0</v>
      </c>
      <c r="Q86" s="35" t="n">
        <f aca="false">IF(O86="No",ROUND(L86*M86/2,2),0)</f>
        <v>0</v>
      </c>
      <c r="R86" s="35" t="n">
        <f aca="false">Q86</f>
        <v>0</v>
      </c>
      <c r="S86" s="35" t="n">
        <f aca="false">L86+P86+Q86+R86</f>
        <v>0</v>
      </c>
      <c r="T86" s="34" t="str">
        <f aca="false">IF(A86="","",IFERROR(INDEX(Customers!$B$5:$B$204,MATCH(C86,Customers!$A$5:$A$204,0))&amp;"",""))</f>
        <v/>
      </c>
      <c r="U86" s="38" t="str">
        <f aca="false">IF(A86="","",IF(T86&lt;&gt;"","B2B",IF(AND(O86="Yes",SUMIF($A$5:$A$1004,A86,$L$5:$L$1004)+SUMIF($A$5:$A$1004,A86,$P$5:$P$1004)&gt;100000),"B2CL","B2CS")))</f>
        <v/>
      </c>
      <c r="V86" s="17" t="str">
        <f aca="false">IF(A86="","",TEXT(B86,"mmm-yyyy"))</f>
        <v/>
      </c>
    </row>
    <row r="87" customFormat="false" ht="15" hidden="false" customHeight="true" outlineLevel="0" collapsed="false">
      <c r="A87" s="24"/>
      <c r="B87" s="39"/>
      <c r="C87" s="24"/>
      <c r="D87" s="24"/>
      <c r="E87" s="40"/>
      <c r="F87" s="29"/>
      <c r="G87" s="30"/>
      <c r="H87" s="17" t="str">
        <f aca="false">IF(A87="","",A87&amp;"|"&amp;COUNTIF(A$5:A87,A87))</f>
        <v/>
      </c>
      <c r="I87" s="33" t="str">
        <f aca="false">IF(A87="","",IFERROR(INDEX(Items!$B$5:$B$304,MATCH(D87,Items!$A$5:$A$304,0))&amp;"",""))</f>
        <v/>
      </c>
      <c r="J87" s="34" t="str">
        <f aca="false">IF(A87="","",IFERROR(INDEX(Items!$C$5:$C$304,MATCH(D87,Items!$A$5:$A$304,0))&amp;"",""))</f>
        <v/>
      </c>
      <c r="K87" s="35" t="n">
        <f aca="false">IF(A87="",0,IF(ISNUMBER(F87),F87,IFERROR(INDEX(Items!$D$5:$D$304,MATCH(D87,Items!$A$5:$A$304,0)),0)))</f>
        <v>0</v>
      </c>
      <c r="L87" s="35" t="n">
        <f aca="false">ROUND(N(E87)*K87*(1-N(G87)),2)</f>
        <v>0</v>
      </c>
      <c r="M87" s="36" t="n">
        <f aca="false">IF(A87="",0,IFERROR(INDEX(Items!$E$5:$E$304,MATCH(D87,Items!$A$5:$A$304,0)),0))</f>
        <v>0</v>
      </c>
      <c r="N87" s="37" t="str">
        <f aca="false">IF(A87="","",IFERROR(INDEX(Customers!$E$5:$E$204,MATCH(C87,Customers!$A$5:$A$204,0)),"?"))</f>
        <v/>
      </c>
      <c r="O87" s="38" t="str">
        <f aca="false">IF(A87="","",IF(N87=Settings!$B$17,"No","Yes"))</f>
        <v/>
      </c>
      <c r="P87" s="35" t="n">
        <f aca="false">IF(O87="Yes",ROUND(L87*M87,2),0)</f>
        <v>0</v>
      </c>
      <c r="Q87" s="35" t="n">
        <f aca="false">IF(O87="No",ROUND(L87*M87/2,2),0)</f>
        <v>0</v>
      </c>
      <c r="R87" s="35" t="n">
        <f aca="false">Q87</f>
        <v>0</v>
      </c>
      <c r="S87" s="35" t="n">
        <f aca="false">L87+P87+Q87+R87</f>
        <v>0</v>
      </c>
      <c r="T87" s="34" t="str">
        <f aca="false">IF(A87="","",IFERROR(INDEX(Customers!$B$5:$B$204,MATCH(C87,Customers!$A$5:$A$204,0))&amp;"",""))</f>
        <v/>
      </c>
      <c r="U87" s="38" t="str">
        <f aca="false">IF(A87="","",IF(T87&lt;&gt;"","B2B",IF(AND(O87="Yes",SUMIF($A$5:$A$1004,A87,$L$5:$L$1004)+SUMIF($A$5:$A$1004,A87,$P$5:$P$1004)&gt;100000),"B2CL","B2CS")))</f>
        <v/>
      </c>
      <c r="V87" s="17" t="str">
        <f aca="false">IF(A87="","",TEXT(B87,"mmm-yyyy"))</f>
        <v/>
      </c>
    </row>
    <row r="88" customFormat="false" ht="15" hidden="false" customHeight="true" outlineLevel="0" collapsed="false">
      <c r="A88" s="24"/>
      <c r="B88" s="39"/>
      <c r="C88" s="24"/>
      <c r="D88" s="24"/>
      <c r="E88" s="40"/>
      <c r="F88" s="29"/>
      <c r="G88" s="30"/>
      <c r="H88" s="17" t="str">
        <f aca="false">IF(A88="","",A88&amp;"|"&amp;COUNTIF(A$5:A88,A88))</f>
        <v/>
      </c>
      <c r="I88" s="33" t="str">
        <f aca="false">IF(A88="","",IFERROR(INDEX(Items!$B$5:$B$304,MATCH(D88,Items!$A$5:$A$304,0))&amp;"",""))</f>
        <v/>
      </c>
      <c r="J88" s="34" t="str">
        <f aca="false">IF(A88="","",IFERROR(INDEX(Items!$C$5:$C$304,MATCH(D88,Items!$A$5:$A$304,0))&amp;"",""))</f>
        <v/>
      </c>
      <c r="K88" s="35" t="n">
        <f aca="false">IF(A88="",0,IF(ISNUMBER(F88),F88,IFERROR(INDEX(Items!$D$5:$D$304,MATCH(D88,Items!$A$5:$A$304,0)),0)))</f>
        <v>0</v>
      </c>
      <c r="L88" s="35" t="n">
        <f aca="false">ROUND(N(E88)*K88*(1-N(G88)),2)</f>
        <v>0</v>
      </c>
      <c r="M88" s="36" t="n">
        <f aca="false">IF(A88="",0,IFERROR(INDEX(Items!$E$5:$E$304,MATCH(D88,Items!$A$5:$A$304,0)),0))</f>
        <v>0</v>
      </c>
      <c r="N88" s="37" t="str">
        <f aca="false">IF(A88="","",IFERROR(INDEX(Customers!$E$5:$E$204,MATCH(C88,Customers!$A$5:$A$204,0)),"?"))</f>
        <v/>
      </c>
      <c r="O88" s="38" t="str">
        <f aca="false">IF(A88="","",IF(N88=Settings!$B$17,"No","Yes"))</f>
        <v/>
      </c>
      <c r="P88" s="35" t="n">
        <f aca="false">IF(O88="Yes",ROUND(L88*M88,2),0)</f>
        <v>0</v>
      </c>
      <c r="Q88" s="35" t="n">
        <f aca="false">IF(O88="No",ROUND(L88*M88/2,2),0)</f>
        <v>0</v>
      </c>
      <c r="R88" s="35" t="n">
        <f aca="false">Q88</f>
        <v>0</v>
      </c>
      <c r="S88" s="35" t="n">
        <f aca="false">L88+P88+Q88+R88</f>
        <v>0</v>
      </c>
      <c r="T88" s="34" t="str">
        <f aca="false">IF(A88="","",IFERROR(INDEX(Customers!$B$5:$B$204,MATCH(C88,Customers!$A$5:$A$204,0))&amp;"",""))</f>
        <v/>
      </c>
      <c r="U88" s="38" t="str">
        <f aca="false">IF(A88="","",IF(T88&lt;&gt;"","B2B",IF(AND(O88="Yes",SUMIF($A$5:$A$1004,A88,$L$5:$L$1004)+SUMIF($A$5:$A$1004,A88,$P$5:$P$1004)&gt;100000),"B2CL","B2CS")))</f>
        <v/>
      </c>
      <c r="V88" s="17" t="str">
        <f aca="false">IF(A88="","",TEXT(B88,"mmm-yyyy"))</f>
        <v/>
      </c>
    </row>
    <row r="89" customFormat="false" ht="15" hidden="false" customHeight="true" outlineLevel="0" collapsed="false">
      <c r="A89" s="24"/>
      <c r="B89" s="39"/>
      <c r="C89" s="24"/>
      <c r="D89" s="24"/>
      <c r="E89" s="40"/>
      <c r="F89" s="29"/>
      <c r="G89" s="30"/>
      <c r="H89" s="17" t="str">
        <f aca="false">IF(A89="","",A89&amp;"|"&amp;COUNTIF(A$5:A89,A89))</f>
        <v/>
      </c>
      <c r="I89" s="33" t="str">
        <f aca="false">IF(A89="","",IFERROR(INDEX(Items!$B$5:$B$304,MATCH(D89,Items!$A$5:$A$304,0))&amp;"",""))</f>
        <v/>
      </c>
      <c r="J89" s="34" t="str">
        <f aca="false">IF(A89="","",IFERROR(INDEX(Items!$C$5:$C$304,MATCH(D89,Items!$A$5:$A$304,0))&amp;"",""))</f>
        <v/>
      </c>
      <c r="K89" s="35" t="n">
        <f aca="false">IF(A89="",0,IF(ISNUMBER(F89),F89,IFERROR(INDEX(Items!$D$5:$D$304,MATCH(D89,Items!$A$5:$A$304,0)),0)))</f>
        <v>0</v>
      </c>
      <c r="L89" s="35" t="n">
        <f aca="false">ROUND(N(E89)*K89*(1-N(G89)),2)</f>
        <v>0</v>
      </c>
      <c r="M89" s="36" t="n">
        <f aca="false">IF(A89="",0,IFERROR(INDEX(Items!$E$5:$E$304,MATCH(D89,Items!$A$5:$A$304,0)),0))</f>
        <v>0</v>
      </c>
      <c r="N89" s="37" t="str">
        <f aca="false">IF(A89="","",IFERROR(INDEX(Customers!$E$5:$E$204,MATCH(C89,Customers!$A$5:$A$204,0)),"?"))</f>
        <v/>
      </c>
      <c r="O89" s="38" t="str">
        <f aca="false">IF(A89="","",IF(N89=Settings!$B$17,"No","Yes"))</f>
        <v/>
      </c>
      <c r="P89" s="35" t="n">
        <f aca="false">IF(O89="Yes",ROUND(L89*M89,2),0)</f>
        <v>0</v>
      </c>
      <c r="Q89" s="35" t="n">
        <f aca="false">IF(O89="No",ROUND(L89*M89/2,2),0)</f>
        <v>0</v>
      </c>
      <c r="R89" s="35" t="n">
        <f aca="false">Q89</f>
        <v>0</v>
      </c>
      <c r="S89" s="35" t="n">
        <f aca="false">L89+P89+Q89+R89</f>
        <v>0</v>
      </c>
      <c r="T89" s="34" t="str">
        <f aca="false">IF(A89="","",IFERROR(INDEX(Customers!$B$5:$B$204,MATCH(C89,Customers!$A$5:$A$204,0))&amp;"",""))</f>
        <v/>
      </c>
      <c r="U89" s="38" t="str">
        <f aca="false">IF(A89="","",IF(T89&lt;&gt;"","B2B",IF(AND(O89="Yes",SUMIF($A$5:$A$1004,A89,$L$5:$L$1004)+SUMIF($A$5:$A$1004,A89,$P$5:$P$1004)&gt;100000),"B2CL","B2CS")))</f>
        <v/>
      </c>
      <c r="V89" s="17" t="str">
        <f aca="false">IF(A89="","",TEXT(B89,"mmm-yyyy"))</f>
        <v/>
      </c>
    </row>
    <row r="90" customFormat="false" ht="15" hidden="false" customHeight="true" outlineLevel="0" collapsed="false">
      <c r="A90" s="24"/>
      <c r="B90" s="39"/>
      <c r="C90" s="24"/>
      <c r="D90" s="24"/>
      <c r="E90" s="40"/>
      <c r="F90" s="29"/>
      <c r="G90" s="30"/>
      <c r="H90" s="17" t="str">
        <f aca="false">IF(A90="","",A90&amp;"|"&amp;COUNTIF(A$5:A90,A90))</f>
        <v/>
      </c>
      <c r="I90" s="33" t="str">
        <f aca="false">IF(A90="","",IFERROR(INDEX(Items!$B$5:$B$304,MATCH(D90,Items!$A$5:$A$304,0))&amp;"",""))</f>
        <v/>
      </c>
      <c r="J90" s="34" t="str">
        <f aca="false">IF(A90="","",IFERROR(INDEX(Items!$C$5:$C$304,MATCH(D90,Items!$A$5:$A$304,0))&amp;"",""))</f>
        <v/>
      </c>
      <c r="K90" s="35" t="n">
        <f aca="false">IF(A90="",0,IF(ISNUMBER(F90),F90,IFERROR(INDEX(Items!$D$5:$D$304,MATCH(D90,Items!$A$5:$A$304,0)),0)))</f>
        <v>0</v>
      </c>
      <c r="L90" s="35" t="n">
        <f aca="false">ROUND(N(E90)*K90*(1-N(G90)),2)</f>
        <v>0</v>
      </c>
      <c r="M90" s="36" t="n">
        <f aca="false">IF(A90="",0,IFERROR(INDEX(Items!$E$5:$E$304,MATCH(D90,Items!$A$5:$A$304,0)),0))</f>
        <v>0</v>
      </c>
      <c r="N90" s="37" t="str">
        <f aca="false">IF(A90="","",IFERROR(INDEX(Customers!$E$5:$E$204,MATCH(C90,Customers!$A$5:$A$204,0)),"?"))</f>
        <v/>
      </c>
      <c r="O90" s="38" t="str">
        <f aca="false">IF(A90="","",IF(N90=Settings!$B$17,"No","Yes"))</f>
        <v/>
      </c>
      <c r="P90" s="35" t="n">
        <f aca="false">IF(O90="Yes",ROUND(L90*M90,2),0)</f>
        <v>0</v>
      </c>
      <c r="Q90" s="35" t="n">
        <f aca="false">IF(O90="No",ROUND(L90*M90/2,2),0)</f>
        <v>0</v>
      </c>
      <c r="R90" s="35" t="n">
        <f aca="false">Q90</f>
        <v>0</v>
      </c>
      <c r="S90" s="35" t="n">
        <f aca="false">L90+P90+Q90+R90</f>
        <v>0</v>
      </c>
      <c r="T90" s="34" t="str">
        <f aca="false">IF(A90="","",IFERROR(INDEX(Customers!$B$5:$B$204,MATCH(C90,Customers!$A$5:$A$204,0))&amp;"",""))</f>
        <v/>
      </c>
      <c r="U90" s="38" t="str">
        <f aca="false">IF(A90="","",IF(T90&lt;&gt;"","B2B",IF(AND(O90="Yes",SUMIF($A$5:$A$1004,A90,$L$5:$L$1004)+SUMIF($A$5:$A$1004,A90,$P$5:$P$1004)&gt;100000),"B2CL","B2CS")))</f>
        <v/>
      </c>
      <c r="V90" s="17" t="str">
        <f aca="false">IF(A90="","",TEXT(B90,"mmm-yyyy"))</f>
        <v/>
      </c>
    </row>
    <row r="91" customFormat="false" ht="15" hidden="false" customHeight="true" outlineLevel="0" collapsed="false">
      <c r="A91" s="24"/>
      <c r="B91" s="39"/>
      <c r="C91" s="24"/>
      <c r="D91" s="24"/>
      <c r="E91" s="40"/>
      <c r="F91" s="29"/>
      <c r="G91" s="30"/>
      <c r="H91" s="17" t="str">
        <f aca="false">IF(A91="","",A91&amp;"|"&amp;COUNTIF(A$5:A91,A91))</f>
        <v/>
      </c>
      <c r="I91" s="33" t="str">
        <f aca="false">IF(A91="","",IFERROR(INDEX(Items!$B$5:$B$304,MATCH(D91,Items!$A$5:$A$304,0))&amp;"",""))</f>
        <v/>
      </c>
      <c r="J91" s="34" t="str">
        <f aca="false">IF(A91="","",IFERROR(INDEX(Items!$C$5:$C$304,MATCH(D91,Items!$A$5:$A$304,0))&amp;"",""))</f>
        <v/>
      </c>
      <c r="K91" s="35" t="n">
        <f aca="false">IF(A91="",0,IF(ISNUMBER(F91),F91,IFERROR(INDEX(Items!$D$5:$D$304,MATCH(D91,Items!$A$5:$A$304,0)),0)))</f>
        <v>0</v>
      </c>
      <c r="L91" s="35" t="n">
        <f aca="false">ROUND(N(E91)*K91*(1-N(G91)),2)</f>
        <v>0</v>
      </c>
      <c r="M91" s="36" t="n">
        <f aca="false">IF(A91="",0,IFERROR(INDEX(Items!$E$5:$E$304,MATCH(D91,Items!$A$5:$A$304,0)),0))</f>
        <v>0</v>
      </c>
      <c r="N91" s="37" t="str">
        <f aca="false">IF(A91="","",IFERROR(INDEX(Customers!$E$5:$E$204,MATCH(C91,Customers!$A$5:$A$204,0)),"?"))</f>
        <v/>
      </c>
      <c r="O91" s="38" t="str">
        <f aca="false">IF(A91="","",IF(N91=Settings!$B$17,"No","Yes"))</f>
        <v/>
      </c>
      <c r="P91" s="35" t="n">
        <f aca="false">IF(O91="Yes",ROUND(L91*M91,2),0)</f>
        <v>0</v>
      </c>
      <c r="Q91" s="35" t="n">
        <f aca="false">IF(O91="No",ROUND(L91*M91/2,2),0)</f>
        <v>0</v>
      </c>
      <c r="R91" s="35" t="n">
        <f aca="false">Q91</f>
        <v>0</v>
      </c>
      <c r="S91" s="35" t="n">
        <f aca="false">L91+P91+Q91+R91</f>
        <v>0</v>
      </c>
      <c r="T91" s="34" t="str">
        <f aca="false">IF(A91="","",IFERROR(INDEX(Customers!$B$5:$B$204,MATCH(C91,Customers!$A$5:$A$204,0))&amp;"",""))</f>
        <v/>
      </c>
      <c r="U91" s="38" t="str">
        <f aca="false">IF(A91="","",IF(T91&lt;&gt;"","B2B",IF(AND(O91="Yes",SUMIF($A$5:$A$1004,A91,$L$5:$L$1004)+SUMIF($A$5:$A$1004,A91,$P$5:$P$1004)&gt;100000),"B2CL","B2CS")))</f>
        <v/>
      </c>
      <c r="V91" s="17" t="str">
        <f aca="false">IF(A91="","",TEXT(B91,"mmm-yyyy"))</f>
        <v/>
      </c>
    </row>
    <row r="92" customFormat="false" ht="15" hidden="false" customHeight="true" outlineLevel="0" collapsed="false">
      <c r="A92" s="24"/>
      <c r="B92" s="39"/>
      <c r="C92" s="24"/>
      <c r="D92" s="24"/>
      <c r="E92" s="40"/>
      <c r="F92" s="29"/>
      <c r="G92" s="30"/>
      <c r="H92" s="17" t="str">
        <f aca="false">IF(A92="","",A92&amp;"|"&amp;COUNTIF(A$5:A92,A92))</f>
        <v/>
      </c>
      <c r="I92" s="33" t="str">
        <f aca="false">IF(A92="","",IFERROR(INDEX(Items!$B$5:$B$304,MATCH(D92,Items!$A$5:$A$304,0))&amp;"",""))</f>
        <v/>
      </c>
      <c r="J92" s="34" t="str">
        <f aca="false">IF(A92="","",IFERROR(INDEX(Items!$C$5:$C$304,MATCH(D92,Items!$A$5:$A$304,0))&amp;"",""))</f>
        <v/>
      </c>
      <c r="K92" s="35" t="n">
        <f aca="false">IF(A92="",0,IF(ISNUMBER(F92),F92,IFERROR(INDEX(Items!$D$5:$D$304,MATCH(D92,Items!$A$5:$A$304,0)),0)))</f>
        <v>0</v>
      </c>
      <c r="L92" s="35" t="n">
        <f aca="false">ROUND(N(E92)*K92*(1-N(G92)),2)</f>
        <v>0</v>
      </c>
      <c r="M92" s="36" t="n">
        <f aca="false">IF(A92="",0,IFERROR(INDEX(Items!$E$5:$E$304,MATCH(D92,Items!$A$5:$A$304,0)),0))</f>
        <v>0</v>
      </c>
      <c r="N92" s="37" t="str">
        <f aca="false">IF(A92="","",IFERROR(INDEX(Customers!$E$5:$E$204,MATCH(C92,Customers!$A$5:$A$204,0)),"?"))</f>
        <v/>
      </c>
      <c r="O92" s="38" t="str">
        <f aca="false">IF(A92="","",IF(N92=Settings!$B$17,"No","Yes"))</f>
        <v/>
      </c>
      <c r="P92" s="35" t="n">
        <f aca="false">IF(O92="Yes",ROUND(L92*M92,2),0)</f>
        <v>0</v>
      </c>
      <c r="Q92" s="35" t="n">
        <f aca="false">IF(O92="No",ROUND(L92*M92/2,2),0)</f>
        <v>0</v>
      </c>
      <c r="R92" s="35" t="n">
        <f aca="false">Q92</f>
        <v>0</v>
      </c>
      <c r="S92" s="35" t="n">
        <f aca="false">L92+P92+Q92+R92</f>
        <v>0</v>
      </c>
      <c r="T92" s="34" t="str">
        <f aca="false">IF(A92="","",IFERROR(INDEX(Customers!$B$5:$B$204,MATCH(C92,Customers!$A$5:$A$204,0))&amp;"",""))</f>
        <v/>
      </c>
      <c r="U92" s="38" t="str">
        <f aca="false">IF(A92="","",IF(T92&lt;&gt;"","B2B",IF(AND(O92="Yes",SUMIF($A$5:$A$1004,A92,$L$5:$L$1004)+SUMIF($A$5:$A$1004,A92,$P$5:$P$1004)&gt;100000),"B2CL","B2CS")))</f>
        <v/>
      </c>
      <c r="V92" s="17" t="str">
        <f aca="false">IF(A92="","",TEXT(B92,"mmm-yyyy"))</f>
        <v/>
      </c>
    </row>
    <row r="93" customFormat="false" ht="15" hidden="false" customHeight="true" outlineLevel="0" collapsed="false">
      <c r="A93" s="24"/>
      <c r="B93" s="39"/>
      <c r="C93" s="24"/>
      <c r="D93" s="24"/>
      <c r="E93" s="40"/>
      <c r="F93" s="29"/>
      <c r="G93" s="30"/>
      <c r="H93" s="17" t="str">
        <f aca="false">IF(A93="","",A93&amp;"|"&amp;COUNTIF(A$5:A93,A93))</f>
        <v/>
      </c>
      <c r="I93" s="33" t="str">
        <f aca="false">IF(A93="","",IFERROR(INDEX(Items!$B$5:$B$304,MATCH(D93,Items!$A$5:$A$304,0))&amp;"",""))</f>
        <v/>
      </c>
      <c r="J93" s="34" t="str">
        <f aca="false">IF(A93="","",IFERROR(INDEX(Items!$C$5:$C$304,MATCH(D93,Items!$A$5:$A$304,0))&amp;"",""))</f>
        <v/>
      </c>
      <c r="K93" s="35" t="n">
        <f aca="false">IF(A93="",0,IF(ISNUMBER(F93),F93,IFERROR(INDEX(Items!$D$5:$D$304,MATCH(D93,Items!$A$5:$A$304,0)),0)))</f>
        <v>0</v>
      </c>
      <c r="L93" s="35" t="n">
        <f aca="false">ROUND(N(E93)*K93*(1-N(G93)),2)</f>
        <v>0</v>
      </c>
      <c r="M93" s="36" t="n">
        <f aca="false">IF(A93="",0,IFERROR(INDEX(Items!$E$5:$E$304,MATCH(D93,Items!$A$5:$A$304,0)),0))</f>
        <v>0</v>
      </c>
      <c r="N93" s="37" t="str">
        <f aca="false">IF(A93="","",IFERROR(INDEX(Customers!$E$5:$E$204,MATCH(C93,Customers!$A$5:$A$204,0)),"?"))</f>
        <v/>
      </c>
      <c r="O93" s="38" t="str">
        <f aca="false">IF(A93="","",IF(N93=Settings!$B$17,"No","Yes"))</f>
        <v/>
      </c>
      <c r="P93" s="35" t="n">
        <f aca="false">IF(O93="Yes",ROUND(L93*M93,2),0)</f>
        <v>0</v>
      </c>
      <c r="Q93" s="35" t="n">
        <f aca="false">IF(O93="No",ROUND(L93*M93/2,2),0)</f>
        <v>0</v>
      </c>
      <c r="R93" s="35" t="n">
        <f aca="false">Q93</f>
        <v>0</v>
      </c>
      <c r="S93" s="35" t="n">
        <f aca="false">L93+P93+Q93+R93</f>
        <v>0</v>
      </c>
      <c r="T93" s="34" t="str">
        <f aca="false">IF(A93="","",IFERROR(INDEX(Customers!$B$5:$B$204,MATCH(C93,Customers!$A$5:$A$204,0))&amp;"",""))</f>
        <v/>
      </c>
      <c r="U93" s="38" t="str">
        <f aca="false">IF(A93="","",IF(T93&lt;&gt;"","B2B",IF(AND(O93="Yes",SUMIF($A$5:$A$1004,A93,$L$5:$L$1004)+SUMIF($A$5:$A$1004,A93,$P$5:$P$1004)&gt;100000),"B2CL","B2CS")))</f>
        <v/>
      </c>
      <c r="V93" s="17" t="str">
        <f aca="false">IF(A93="","",TEXT(B93,"mmm-yyyy"))</f>
        <v/>
      </c>
    </row>
    <row r="94" customFormat="false" ht="15" hidden="false" customHeight="true" outlineLevel="0" collapsed="false">
      <c r="A94" s="24"/>
      <c r="B94" s="39"/>
      <c r="C94" s="24"/>
      <c r="D94" s="24"/>
      <c r="E94" s="40"/>
      <c r="F94" s="29"/>
      <c r="G94" s="30"/>
      <c r="H94" s="17" t="str">
        <f aca="false">IF(A94="","",A94&amp;"|"&amp;COUNTIF(A$5:A94,A94))</f>
        <v/>
      </c>
      <c r="I94" s="33" t="str">
        <f aca="false">IF(A94="","",IFERROR(INDEX(Items!$B$5:$B$304,MATCH(D94,Items!$A$5:$A$304,0))&amp;"",""))</f>
        <v/>
      </c>
      <c r="J94" s="34" t="str">
        <f aca="false">IF(A94="","",IFERROR(INDEX(Items!$C$5:$C$304,MATCH(D94,Items!$A$5:$A$304,0))&amp;"",""))</f>
        <v/>
      </c>
      <c r="K94" s="35" t="n">
        <f aca="false">IF(A94="",0,IF(ISNUMBER(F94),F94,IFERROR(INDEX(Items!$D$5:$D$304,MATCH(D94,Items!$A$5:$A$304,0)),0)))</f>
        <v>0</v>
      </c>
      <c r="L94" s="35" t="n">
        <f aca="false">ROUND(N(E94)*K94*(1-N(G94)),2)</f>
        <v>0</v>
      </c>
      <c r="M94" s="36" t="n">
        <f aca="false">IF(A94="",0,IFERROR(INDEX(Items!$E$5:$E$304,MATCH(D94,Items!$A$5:$A$304,0)),0))</f>
        <v>0</v>
      </c>
      <c r="N94" s="37" t="str">
        <f aca="false">IF(A94="","",IFERROR(INDEX(Customers!$E$5:$E$204,MATCH(C94,Customers!$A$5:$A$204,0)),"?"))</f>
        <v/>
      </c>
      <c r="O94" s="38" t="str">
        <f aca="false">IF(A94="","",IF(N94=Settings!$B$17,"No","Yes"))</f>
        <v/>
      </c>
      <c r="P94" s="35" t="n">
        <f aca="false">IF(O94="Yes",ROUND(L94*M94,2),0)</f>
        <v>0</v>
      </c>
      <c r="Q94" s="35" t="n">
        <f aca="false">IF(O94="No",ROUND(L94*M94/2,2),0)</f>
        <v>0</v>
      </c>
      <c r="R94" s="35" t="n">
        <f aca="false">Q94</f>
        <v>0</v>
      </c>
      <c r="S94" s="35" t="n">
        <f aca="false">L94+P94+Q94+R94</f>
        <v>0</v>
      </c>
      <c r="T94" s="34" t="str">
        <f aca="false">IF(A94="","",IFERROR(INDEX(Customers!$B$5:$B$204,MATCH(C94,Customers!$A$5:$A$204,0))&amp;"",""))</f>
        <v/>
      </c>
      <c r="U94" s="38" t="str">
        <f aca="false">IF(A94="","",IF(T94&lt;&gt;"","B2B",IF(AND(O94="Yes",SUMIF($A$5:$A$1004,A94,$L$5:$L$1004)+SUMIF($A$5:$A$1004,A94,$P$5:$P$1004)&gt;100000),"B2CL","B2CS")))</f>
        <v/>
      </c>
      <c r="V94" s="17" t="str">
        <f aca="false">IF(A94="","",TEXT(B94,"mmm-yyyy"))</f>
        <v/>
      </c>
    </row>
    <row r="95" customFormat="false" ht="15" hidden="false" customHeight="true" outlineLevel="0" collapsed="false">
      <c r="A95" s="24"/>
      <c r="B95" s="39"/>
      <c r="C95" s="24"/>
      <c r="D95" s="24"/>
      <c r="E95" s="40"/>
      <c r="F95" s="29"/>
      <c r="G95" s="30"/>
      <c r="H95" s="17" t="str">
        <f aca="false">IF(A95="","",A95&amp;"|"&amp;COUNTIF(A$5:A95,A95))</f>
        <v/>
      </c>
      <c r="I95" s="33" t="str">
        <f aca="false">IF(A95="","",IFERROR(INDEX(Items!$B$5:$B$304,MATCH(D95,Items!$A$5:$A$304,0))&amp;"",""))</f>
        <v/>
      </c>
      <c r="J95" s="34" t="str">
        <f aca="false">IF(A95="","",IFERROR(INDEX(Items!$C$5:$C$304,MATCH(D95,Items!$A$5:$A$304,0))&amp;"",""))</f>
        <v/>
      </c>
      <c r="K95" s="35" t="n">
        <f aca="false">IF(A95="",0,IF(ISNUMBER(F95),F95,IFERROR(INDEX(Items!$D$5:$D$304,MATCH(D95,Items!$A$5:$A$304,0)),0)))</f>
        <v>0</v>
      </c>
      <c r="L95" s="35" t="n">
        <f aca="false">ROUND(N(E95)*K95*(1-N(G95)),2)</f>
        <v>0</v>
      </c>
      <c r="M95" s="36" t="n">
        <f aca="false">IF(A95="",0,IFERROR(INDEX(Items!$E$5:$E$304,MATCH(D95,Items!$A$5:$A$304,0)),0))</f>
        <v>0</v>
      </c>
      <c r="N95" s="37" t="str">
        <f aca="false">IF(A95="","",IFERROR(INDEX(Customers!$E$5:$E$204,MATCH(C95,Customers!$A$5:$A$204,0)),"?"))</f>
        <v/>
      </c>
      <c r="O95" s="38" t="str">
        <f aca="false">IF(A95="","",IF(N95=Settings!$B$17,"No","Yes"))</f>
        <v/>
      </c>
      <c r="P95" s="35" t="n">
        <f aca="false">IF(O95="Yes",ROUND(L95*M95,2),0)</f>
        <v>0</v>
      </c>
      <c r="Q95" s="35" t="n">
        <f aca="false">IF(O95="No",ROUND(L95*M95/2,2),0)</f>
        <v>0</v>
      </c>
      <c r="R95" s="35" t="n">
        <f aca="false">Q95</f>
        <v>0</v>
      </c>
      <c r="S95" s="35" t="n">
        <f aca="false">L95+P95+Q95+R95</f>
        <v>0</v>
      </c>
      <c r="T95" s="34" t="str">
        <f aca="false">IF(A95="","",IFERROR(INDEX(Customers!$B$5:$B$204,MATCH(C95,Customers!$A$5:$A$204,0))&amp;"",""))</f>
        <v/>
      </c>
      <c r="U95" s="38" t="str">
        <f aca="false">IF(A95="","",IF(T95&lt;&gt;"","B2B",IF(AND(O95="Yes",SUMIF($A$5:$A$1004,A95,$L$5:$L$1004)+SUMIF($A$5:$A$1004,A95,$P$5:$P$1004)&gt;100000),"B2CL","B2CS")))</f>
        <v/>
      </c>
      <c r="V95" s="17" t="str">
        <f aca="false">IF(A95="","",TEXT(B95,"mmm-yyyy"))</f>
        <v/>
      </c>
    </row>
    <row r="96" customFormat="false" ht="15" hidden="false" customHeight="true" outlineLevel="0" collapsed="false">
      <c r="A96" s="24"/>
      <c r="B96" s="39"/>
      <c r="C96" s="24"/>
      <c r="D96" s="24"/>
      <c r="E96" s="40"/>
      <c r="F96" s="29"/>
      <c r="G96" s="30"/>
      <c r="H96" s="17" t="str">
        <f aca="false">IF(A96="","",A96&amp;"|"&amp;COUNTIF(A$5:A96,A96))</f>
        <v/>
      </c>
      <c r="I96" s="33" t="str">
        <f aca="false">IF(A96="","",IFERROR(INDEX(Items!$B$5:$B$304,MATCH(D96,Items!$A$5:$A$304,0))&amp;"",""))</f>
        <v/>
      </c>
      <c r="J96" s="34" t="str">
        <f aca="false">IF(A96="","",IFERROR(INDEX(Items!$C$5:$C$304,MATCH(D96,Items!$A$5:$A$304,0))&amp;"",""))</f>
        <v/>
      </c>
      <c r="K96" s="35" t="n">
        <f aca="false">IF(A96="",0,IF(ISNUMBER(F96),F96,IFERROR(INDEX(Items!$D$5:$D$304,MATCH(D96,Items!$A$5:$A$304,0)),0)))</f>
        <v>0</v>
      </c>
      <c r="L96" s="35" t="n">
        <f aca="false">ROUND(N(E96)*K96*(1-N(G96)),2)</f>
        <v>0</v>
      </c>
      <c r="M96" s="36" t="n">
        <f aca="false">IF(A96="",0,IFERROR(INDEX(Items!$E$5:$E$304,MATCH(D96,Items!$A$5:$A$304,0)),0))</f>
        <v>0</v>
      </c>
      <c r="N96" s="37" t="str">
        <f aca="false">IF(A96="","",IFERROR(INDEX(Customers!$E$5:$E$204,MATCH(C96,Customers!$A$5:$A$204,0)),"?"))</f>
        <v/>
      </c>
      <c r="O96" s="38" t="str">
        <f aca="false">IF(A96="","",IF(N96=Settings!$B$17,"No","Yes"))</f>
        <v/>
      </c>
      <c r="P96" s="35" t="n">
        <f aca="false">IF(O96="Yes",ROUND(L96*M96,2),0)</f>
        <v>0</v>
      </c>
      <c r="Q96" s="35" t="n">
        <f aca="false">IF(O96="No",ROUND(L96*M96/2,2),0)</f>
        <v>0</v>
      </c>
      <c r="R96" s="35" t="n">
        <f aca="false">Q96</f>
        <v>0</v>
      </c>
      <c r="S96" s="35" t="n">
        <f aca="false">L96+P96+Q96+R96</f>
        <v>0</v>
      </c>
      <c r="T96" s="34" t="str">
        <f aca="false">IF(A96="","",IFERROR(INDEX(Customers!$B$5:$B$204,MATCH(C96,Customers!$A$5:$A$204,0))&amp;"",""))</f>
        <v/>
      </c>
      <c r="U96" s="38" t="str">
        <f aca="false">IF(A96="","",IF(T96&lt;&gt;"","B2B",IF(AND(O96="Yes",SUMIF($A$5:$A$1004,A96,$L$5:$L$1004)+SUMIF($A$5:$A$1004,A96,$P$5:$P$1004)&gt;100000),"B2CL","B2CS")))</f>
        <v/>
      </c>
      <c r="V96" s="17" t="str">
        <f aca="false">IF(A96="","",TEXT(B96,"mmm-yyyy"))</f>
        <v/>
      </c>
    </row>
    <row r="97" customFormat="false" ht="15" hidden="false" customHeight="true" outlineLevel="0" collapsed="false">
      <c r="A97" s="24"/>
      <c r="B97" s="39"/>
      <c r="C97" s="24"/>
      <c r="D97" s="24"/>
      <c r="E97" s="40"/>
      <c r="F97" s="29"/>
      <c r="G97" s="30"/>
      <c r="H97" s="17" t="str">
        <f aca="false">IF(A97="","",A97&amp;"|"&amp;COUNTIF(A$5:A97,A97))</f>
        <v/>
      </c>
      <c r="I97" s="33" t="str">
        <f aca="false">IF(A97="","",IFERROR(INDEX(Items!$B$5:$B$304,MATCH(D97,Items!$A$5:$A$304,0))&amp;"",""))</f>
        <v/>
      </c>
      <c r="J97" s="34" t="str">
        <f aca="false">IF(A97="","",IFERROR(INDEX(Items!$C$5:$C$304,MATCH(D97,Items!$A$5:$A$304,0))&amp;"",""))</f>
        <v/>
      </c>
      <c r="K97" s="35" t="n">
        <f aca="false">IF(A97="",0,IF(ISNUMBER(F97),F97,IFERROR(INDEX(Items!$D$5:$D$304,MATCH(D97,Items!$A$5:$A$304,0)),0)))</f>
        <v>0</v>
      </c>
      <c r="L97" s="35" t="n">
        <f aca="false">ROUND(N(E97)*K97*(1-N(G97)),2)</f>
        <v>0</v>
      </c>
      <c r="M97" s="36" t="n">
        <f aca="false">IF(A97="",0,IFERROR(INDEX(Items!$E$5:$E$304,MATCH(D97,Items!$A$5:$A$304,0)),0))</f>
        <v>0</v>
      </c>
      <c r="N97" s="37" t="str">
        <f aca="false">IF(A97="","",IFERROR(INDEX(Customers!$E$5:$E$204,MATCH(C97,Customers!$A$5:$A$204,0)),"?"))</f>
        <v/>
      </c>
      <c r="O97" s="38" t="str">
        <f aca="false">IF(A97="","",IF(N97=Settings!$B$17,"No","Yes"))</f>
        <v/>
      </c>
      <c r="P97" s="35" t="n">
        <f aca="false">IF(O97="Yes",ROUND(L97*M97,2),0)</f>
        <v>0</v>
      </c>
      <c r="Q97" s="35" t="n">
        <f aca="false">IF(O97="No",ROUND(L97*M97/2,2),0)</f>
        <v>0</v>
      </c>
      <c r="R97" s="35" t="n">
        <f aca="false">Q97</f>
        <v>0</v>
      </c>
      <c r="S97" s="35" t="n">
        <f aca="false">L97+P97+Q97+R97</f>
        <v>0</v>
      </c>
      <c r="T97" s="34" t="str">
        <f aca="false">IF(A97="","",IFERROR(INDEX(Customers!$B$5:$B$204,MATCH(C97,Customers!$A$5:$A$204,0))&amp;"",""))</f>
        <v/>
      </c>
      <c r="U97" s="38" t="str">
        <f aca="false">IF(A97="","",IF(T97&lt;&gt;"","B2B",IF(AND(O97="Yes",SUMIF($A$5:$A$1004,A97,$L$5:$L$1004)+SUMIF($A$5:$A$1004,A97,$P$5:$P$1004)&gt;100000),"B2CL","B2CS")))</f>
        <v/>
      </c>
      <c r="V97" s="17" t="str">
        <f aca="false">IF(A97="","",TEXT(B97,"mmm-yyyy"))</f>
        <v/>
      </c>
    </row>
    <row r="98" customFormat="false" ht="15" hidden="false" customHeight="true" outlineLevel="0" collapsed="false">
      <c r="A98" s="24"/>
      <c r="B98" s="39"/>
      <c r="C98" s="24"/>
      <c r="D98" s="24"/>
      <c r="E98" s="40"/>
      <c r="F98" s="29"/>
      <c r="G98" s="30"/>
      <c r="H98" s="17" t="str">
        <f aca="false">IF(A98="","",A98&amp;"|"&amp;COUNTIF(A$5:A98,A98))</f>
        <v/>
      </c>
      <c r="I98" s="33" t="str">
        <f aca="false">IF(A98="","",IFERROR(INDEX(Items!$B$5:$B$304,MATCH(D98,Items!$A$5:$A$304,0))&amp;"",""))</f>
        <v/>
      </c>
      <c r="J98" s="34" t="str">
        <f aca="false">IF(A98="","",IFERROR(INDEX(Items!$C$5:$C$304,MATCH(D98,Items!$A$5:$A$304,0))&amp;"",""))</f>
        <v/>
      </c>
      <c r="K98" s="35" t="n">
        <f aca="false">IF(A98="",0,IF(ISNUMBER(F98),F98,IFERROR(INDEX(Items!$D$5:$D$304,MATCH(D98,Items!$A$5:$A$304,0)),0)))</f>
        <v>0</v>
      </c>
      <c r="L98" s="35" t="n">
        <f aca="false">ROUND(N(E98)*K98*(1-N(G98)),2)</f>
        <v>0</v>
      </c>
      <c r="M98" s="36" t="n">
        <f aca="false">IF(A98="",0,IFERROR(INDEX(Items!$E$5:$E$304,MATCH(D98,Items!$A$5:$A$304,0)),0))</f>
        <v>0</v>
      </c>
      <c r="N98" s="37" t="str">
        <f aca="false">IF(A98="","",IFERROR(INDEX(Customers!$E$5:$E$204,MATCH(C98,Customers!$A$5:$A$204,0)),"?"))</f>
        <v/>
      </c>
      <c r="O98" s="38" t="str">
        <f aca="false">IF(A98="","",IF(N98=Settings!$B$17,"No","Yes"))</f>
        <v/>
      </c>
      <c r="P98" s="35" t="n">
        <f aca="false">IF(O98="Yes",ROUND(L98*M98,2),0)</f>
        <v>0</v>
      </c>
      <c r="Q98" s="35" t="n">
        <f aca="false">IF(O98="No",ROUND(L98*M98/2,2),0)</f>
        <v>0</v>
      </c>
      <c r="R98" s="35" t="n">
        <f aca="false">Q98</f>
        <v>0</v>
      </c>
      <c r="S98" s="35" t="n">
        <f aca="false">L98+P98+Q98+R98</f>
        <v>0</v>
      </c>
      <c r="T98" s="34" t="str">
        <f aca="false">IF(A98="","",IFERROR(INDEX(Customers!$B$5:$B$204,MATCH(C98,Customers!$A$5:$A$204,0))&amp;"",""))</f>
        <v/>
      </c>
      <c r="U98" s="38" t="str">
        <f aca="false">IF(A98="","",IF(T98&lt;&gt;"","B2B",IF(AND(O98="Yes",SUMIF($A$5:$A$1004,A98,$L$5:$L$1004)+SUMIF($A$5:$A$1004,A98,$P$5:$P$1004)&gt;100000),"B2CL","B2CS")))</f>
        <v/>
      </c>
      <c r="V98" s="17" t="str">
        <f aca="false">IF(A98="","",TEXT(B98,"mmm-yyyy"))</f>
        <v/>
      </c>
    </row>
    <row r="99" customFormat="false" ht="15" hidden="false" customHeight="true" outlineLevel="0" collapsed="false">
      <c r="A99" s="24"/>
      <c r="B99" s="39"/>
      <c r="C99" s="24"/>
      <c r="D99" s="24"/>
      <c r="E99" s="40"/>
      <c r="F99" s="29"/>
      <c r="G99" s="30"/>
      <c r="H99" s="17" t="str">
        <f aca="false">IF(A99="","",A99&amp;"|"&amp;COUNTIF(A$5:A99,A99))</f>
        <v/>
      </c>
      <c r="I99" s="33" t="str">
        <f aca="false">IF(A99="","",IFERROR(INDEX(Items!$B$5:$B$304,MATCH(D99,Items!$A$5:$A$304,0))&amp;"",""))</f>
        <v/>
      </c>
      <c r="J99" s="34" t="str">
        <f aca="false">IF(A99="","",IFERROR(INDEX(Items!$C$5:$C$304,MATCH(D99,Items!$A$5:$A$304,0))&amp;"",""))</f>
        <v/>
      </c>
      <c r="K99" s="35" t="n">
        <f aca="false">IF(A99="",0,IF(ISNUMBER(F99),F99,IFERROR(INDEX(Items!$D$5:$D$304,MATCH(D99,Items!$A$5:$A$304,0)),0)))</f>
        <v>0</v>
      </c>
      <c r="L99" s="35" t="n">
        <f aca="false">ROUND(N(E99)*K99*(1-N(G99)),2)</f>
        <v>0</v>
      </c>
      <c r="M99" s="36" t="n">
        <f aca="false">IF(A99="",0,IFERROR(INDEX(Items!$E$5:$E$304,MATCH(D99,Items!$A$5:$A$304,0)),0))</f>
        <v>0</v>
      </c>
      <c r="N99" s="37" t="str">
        <f aca="false">IF(A99="","",IFERROR(INDEX(Customers!$E$5:$E$204,MATCH(C99,Customers!$A$5:$A$204,0)),"?"))</f>
        <v/>
      </c>
      <c r="O99" s="38" t="str">
        <f aca="false">IF(A99="","",IF(N99=Settings!$B$17,"No","Yes"))</f>
        <v/>
      </c>
      <c r="P99" s="35" t="n">
        <f aca="false">IF(O99="Yes",ROUND(L99*M99,2),0)</f>
        <v>0</v>
      </c>
      <c r="Q99" s="35" t="n">
        <f aca="false">IF(O99="No",ROUND(L99*M99/2,2),0)</f>
        <v>0</v>
      </c>
      <c r="R99" s="35" t="n">
        <f aca="false">Q99</f>
        <v>0</v>
      </c>
      <c r="S99" s="35" t="n">
        <f aca="false">L99+P99+Q99+R99</f>
        <v>0</v>
      </c>
      <c r="T99" s="34" t="str">
        <f aca="false">IF(A99="","",IFERROR(INDEX(Customers!$B$5:$B$204,MATCH(C99,Customers!$A$5:$A$204,0))&amp;"",""))</f>
        <v/>
      </c>
      <c r="U99" s="38" t="str">
        <f aca="false">IF(A99="","",IF(T99&lt;&gt;"","B2B",IF(AND(O99="Yes",SUMIF($A$5:$A$1004,A99,$L$5:$L$1004)+SUMIF($A$5:$A$1004,A99,$P$5:$P$1004)&gt;100000),"B2CL","B2CS")))</f>
        <v/>
      </c>
      <c r="V99" s="17" t="str">
        <f aca="false">IF(A99="","",TEXT(B99,"mmm-yyyy"))</f>
        <v/>
      </c>
    </row>
    <row r="100" customFormat="false" ht="15" hidden="false" customHeight="true" outlineLevel="0" collapsed="false">
      <c r="A100" s="24"/>
      <c r="B100" s="39"/>
      <c r="C100" s="24"/>
      <c r="D100" s="24"/>
      <c r="E100" s="40"/>
      <c r="F100" s="29"/>
      <c r="G100" s="30"/>
      <c r="H100" s="17" t="str">
        <f aca="false">IF(A100="","",A100&amp;"|"&amp;COUNTIF(A$5:A100,A100))</f>
        <v/>
      </c>
      <c r="I100" s="33" t="str">
        <f aca="false">IF(A100="","",IFERROR(INDEX(Items!$B$5:$B$304,MATCH(D100,Items!$A$5:$A$304,0))&amp;"",""))</f>
        <v/>
      </c>
      <c r="J100" s="34" t="str">
        <f aca="false">IF(A100="","",IFERROR(INDEX(Items!$C$5:$C$304,MATCH(D100,Items!$A$5:$A$304,0))&amp;"",""))</f>
        <v/>
      </c>
      <c r="K100" s="35" t="n">
        <f aca="false">IF(A100="",0,IF(ISNUMBER(F100),F100,IFERROR(INDEX(Items!$D$5:$D$304,MATCH(D100,Items!$A$5:$A$304,0)),0)))</f>
        <v>0</v>
      </c>
      <c r="L100" s="35" t="n">
        <f aca="false">ROUND(N(E100)*K100*(1-N(G100)),2)</f>
        <v>0</v>
      </c>
      <c r="M100" s="36" t="n">
        <f aca="false">IF(A100="",0,IFERROR(INDEX(Items!$E$5:$E$304,MATCH(D100,Items!$A$5:$A$304,0)),0))</f>
        <v>0</v>
      </c>
      <c r="N100" s="37" t="str">
        <f aca="false">IF(A100="","",IFERROR(INDEX(Customers!$E$5:$E$204,MATCH(C100,Customers!$A$5:$A$204,0)),"?"))</f>
        <v/>
      </c>
      <c r="O100" s="38" t="str">
        <f aca="false">IF(A100="","",IF(N100=Settings!$B$17,"No","Yes"))</f>
        <v/>
      </c>
      <c r="P100" s="35" t="n">
        <f aca="false">IF(O100="Yes",ROUND(L100*M100,2),0)</f>
        <v>0</v>
      </c>
      <c r="Q100" s="35" t="n">
        <f aca="false">IF(O100="No",ROUND(L100*M100/2,2),0)</f>
        <v>0</v>
      </c>
      <c r="R100" s="35" t="n">
        <f aca="false">Q100</f>
        <v>0</v>
      </c>
      <c r="S100" s="35" t="n">
        <f aca="false">L100+P100+Q100+R100</f>
        <v>0</v>
      </c>
      <c r="T100" s="34" t="str">
        <f aca="false">IF(A100="","",IFERROR(INDEX(Customers!$B$5:$B$204,MATCH(C100,Customers!$A$5:$A$204,0))&amp;"",""))</f>
        <v/>
      </c>
      <c r="U100" s="38" t="str">
        <f aca="false">IF(A100="","",IF(T100&lt;&gt;"","B2B",IF(AND(O100="Yes",SUMIF($A$5:$A$1004,A100,$L$5:$L$1004)+SUMIF($A$5:$A$1004,A100,$P$5:$P$1004)&gt;100000),"B2CL","B2CS")))</f>
        <v/>
      </c>
      <c r="V100" s="17" t="str">
        <f aca="false">IF(A100="","",TEXT(B100,"mmm-yyyy"))</f>
        <v/>
      </c>
    </row>
    <row r="101" customFormat="false" ht="15" hidden="false" customHeight="true" outlineLevel="0" collapsed="false">
      <c r="A101" s="24"/>
      <c r="B101" s="39"/>
      <c r="C101" s="24"/>
      <c r="D101" s="24"/>
      <c r="E101" s="40"/>
      <c r="F101" s="29"/>
      <c r="G101" s="30"/>
      <c r="H101" s="17" t="str">
        <f aca="false">IF(A101="","",A101&amp;"|"&amp;COUNTIF(A$5:A101,A101))</f>
        <v/>
      </c>
      <c r="I101" s="33" t="str">
        <f aca="false">IF(A101="","",IFERROR(INDEX(Items!$B$5:$B$304,MATCH(D101,Items!$A$5:$A$304,0))&amp;"",""))</f>
        <v/>
      </c>
      <c r="J101" s="34" t="str">
        <f aca="false">IF(A101="","",IFERROR(INDEX(Items!$C$5:$C$304,MATCH(D101,Items!$A$5:$A$304,0))&amp;"",""))</f>
        <v/>
      </c>
      <c r="K101" s="35" t="n">
        <f aca="false">IF(A101="",0,IF(ISNUMBER(F101),F101,IFERROR(INDEX(Items!$D$5:$D$304,MATCH(D101,Items!$A$5:$A$304,0)),0)))</f>
        <v>0</v>
      </c>
      <c r="L101" s="35" t="n">
        <f aca="false">ROUND(N(E101)*K101*(1-N(G101)),2)</f>
        <v>0</v>
      </c>
      <c r="M101" s="36" t="n">
        <f aca="false">IF(A101="",0,IFERROR(INDEX(Items!$E$5:$E$304,MATCH(D101,Items!$A$5:$A$304,0)),0))</f>
        <v>0</v>
      </c>
      <c r="N101" s="37" t="str">
        <f aca="false">IF(A101="","",IFERROR(INDEX(Customers!$E$5:$E$204,MATCH(C101,Customers!$A$5:$A$204,0)),"?"))</f>
        <v/>
      </c>
      <c r="O101" s="38" t="str">
        <f aca="false">IF(A101="","",IF(N101=Settings!$B$17,"No","Yes"))</f>
        <v/>
      </c>
      <c r="P101" s="35" t="n">
        <f aca="false">IF(O101="Yes",ROUND(L101*M101,2),0)</f>
        <v>0</v>
      </c>
      <c r="Q101" s="35" t="n">
        <f aca="false">IF(O101="No",ROUND(L101*M101/2,2),0)</f>
        <v>0</v>
      </c>
      <c r="R101" s="35" t="n">
        <f aca="false">Q101</f>
        <v>0</v>
      </c>
      <c r="S101" s="35" t="n">
        <f aca="false">L101+P101+Q101+R101</f>
        <v>0</v>
      </c>
      <c r="T101" s="34" t="str">
        <f aca="false">IF(A101="","",IFERROR(INDEX(Customers!$B$5:$B$204,MATCH(C101,Customers!$A$5:$A$204,0))&amp;"",""))</f>
        <v/>
      </c>
      <c r="U101" s="38" t="str">
        <f aca="false">IF(A101="","",IF(T101&lt;&gt;"","B2B",IF(AND(O101="Yes",SUMIF($A$5:$A$1004,A101,$L$5:$L$1004)+SUMIF($A$5:$A$1004,A101,$P$5:$P$1004)&gt;100000),"B2CL","B2CS")))</f>
        <v/>
      </c>
      <c r="V101" s="17" t="str">
        <f aca="false">IF(A101="","",TEXT(B101,"mmm-yyyy"))</f>
        <v/>
      </c>
    </row>
    <row r="102" customFormat="false" ht="15" hidden="false" customHeight="true" outlineLevel="0" collapsed="false">
      <c r="A102" s="24"/>
      <c r="B102" s="39"/>
      <c r="C102" s="24"/>
      <c r="D102" s="24"/>
      <c r="E102" s="40"/>
      <c r="F102" s="29"/>
      <c r="G102" s="30"/>
      <c r="H102" s="17" t="str">
        <f aca="false">IF(A102="","",A102&amp;"|"&amp;COUNTIF(A$5:A102,A102))</f>
        <v/>
      </c>
      <c r="I102" s="33" t="str">
        <f aca="false">IF(A102="","",IFERROR(INDEX(Items!$B$5:$B$304,MATCH(D102,Items!$A$5:$A$304,0))&amp;"",""))</f>
        <v/>
      </c>
      <c r="J102" s="34" t="str">
        <f aca="false">IF(A102="","",IFERROR(INDEX(Items!$C$5:$C$304,MATCH(D102,Items!$A$5:$A$304,0))&amp;"",""))</f>
        <v/>
      </c>
      <c r="K102" s="35" t="n">
        <f aca="false">IF(A102="",0,IF(ISNUMBER(F102),F102,IFERROR(INDEX(Items!$D$5:$D$304,MATCH(D102,Items!$A$5:$A$304,0)),0)))</f>
        <v>0</v>
      </c>
      <c r="L102" s="35" t="n">
        <f aca="false">ROUND(N(E102)*K102*(1-N(G102)),2)</f>
        <v>0</v>
      </c>
      <c r="M102" s="36" t="n">
        <f aca="false">IF(A102="",0,IFERROR(INDEX(Items!$E$5:$E$304,MATCH(D102,Items!$A$5:$A$304,0)),0))</f>
        <v>0</v>
      </c>
      <c r="N102" s="37" t="str">
        <f aca="false">IF(A102="","",IFERROR(INDEX(Customers!$E$5:$E$204,MATCH(C102,Customers!$A$5:$A$204,0)),"?"))</f>
        <v/>
      </c>
      <c r="O102" s="38" t="str">
        <f aca="false">IF(A102="","",IF(N102=Settings!$B$17,"No","Yes"))</f>
        <v/>
      </c>
      <c r="P102" s="35" t="n">
        <f aca="false">IF(O102="Yes",ROUND(L102*M102,2),0)</f>
        <v>0</v>
      </c>
      <c r="Q102" s="35" t="n">
        <f aca="false">IF(O102="No",ROUND(L102*M102/2,2),0)</f>
        <v>0</v>
      </c>
      <c r="R102" s="35" t="n">
        <f aca="false">Q102</f>
        <v>0</v>
      </c>
      <c r="S102" s="35" t="n">
        <f aca="false">L102+P102+Q102+R102</f>
        <v>0</v>
      </c>
      <c r="T102" s="34" t="str">
        <f aca="false">IF(A102="","",IFERROR(INDEX(Customers!$B$5:$B$204,MATCH(C102,Customers!$A$5:$A$204,0))&amp;"",""))</f>
        <v/>
      </c>
      <c r="U102" s="38" t="str">
        <f aca="false">IF(A102="","",IF(T102&lt;&gt;"","B2B",IF(AND(O102="Yes",SUMIF($A$5:$A$1004,A102,$L$5:$L$1004)+SUMIF($A$5:$A$1004,A102,$P$5:$P$1004)&gt;100000),"B2CL","B2CS")))</f>
        <v/>
      </c>
      <c r="V102" s="17" t="str">
        <f aca="false">IF(A102="","",TEXT(B102,"mmm-yyyy"))</f>
        <v/>
      </c>
    </row>
    <row r="103" customFormat="false" ht="15" hidden="false" customHeight="true" outlineLevel="0" collapsed="false">
      <c r="A103" s="24"/>
      <c r="B103" s="39"/>
      <c r="C103" s="24"/>
      <c r="D103" s="24"/>
      <c r="E103" s="40"/>
      <c r="F103" s="29"/>
      <c r="G103" s="30"/>
      <c r="H103" s="17" t="str">
        <f aca="false">IF(A103="","",A103&amp;"|"&amp;COUNTIF(A$5:A103,A103))</f>
        <v/>
      </c>
      <c r="I103" s="33" t="str">
        <f aca="false">IF(A103="","",IFERROR(INDEX(Items!$B$5:$B$304,MATCH(D103,Items!$A$5:$A$304,0))&amp;"",""))</f>
        <v/>
      </c>
      <c r="J103" s="34" t="str">
        <f aca="false">IF(A103="","",IFERROR(INDEX(Items!$C$5:$C$304,MATCH(D103,Items!$A$5:$A$304,0))&amp;"",""))</f>
        <v/>
      </c>
      <c r="K103" s="35" t="n">
        <f aca="false">IF(A103="",0,IF(ISNUMBER(F103),F103,IFERROR(INDEX(Items!$D$5:$D$304,MATCH(D103,Items!$A$5:$A$304,0)),0)))</f>
        <v>0</v>
      </c>
      <c r="L103" s="35" t="n">
        <f aca="false">ROUND(N(E103)*K103*(1-N(G103)),2)</f>
        <v>0</v>
      </c>
      <c r="M103" s="36" t="n">
        <f aca="false">IF(A103="",0,IFERROR(INDEX(Items!$E$5:$E$304,MATCH(D103,Items!$A$5:$A$304,0)),0))</f>
        <v>0</v>
      </c>
      <c r="N103" s="37" t="str">
        <f aca="false">IF(A103="","",IFERROR(INDEX(Customers!$E$5:$E$204,MATCH(C103,Customers!$A$5:$A$204,0)),"?"))</f>
        <v/>
      </c>
      <c r="O103" s="38" t="str">
        <f aca="false">IF(A103="","",IF(N103=Settings!$B$17,"No","Yes"))</f>
        <v/>
      </c>
      <c r="P103" s="35" t="n">
        <f aca="false">IF(O103="Yes",ROUND(L103*M103,2),0)</f>
        <v>0</v>
      </c>
      <c r="Q103" s="35" t="n">
        <f aca="false">IF(O103="No",ROUND(L103*M103/2,2),0)</f>
        <v>0</v>
      </c>
      <c r="R103" s="35" t="n">
        <f aca="false">Q103</f>
        <v>0</v>
      </c>
      <c r="S103" s="35" t="n">
        <f aca="false">L103+P103+Q103+R103</f>
        <v>0</v>
      </c>
      <c r="T103" s="34" t="str">
        <f aca="false">IF(A103="","",IFERROR(INDEX(Customers!$B$5:$B$204,MATCH(C103,Customers!$A$5:$A$204,0))&amp;"",""))</f>
        <v/>
      </c>
      <c r="U103" s="38" t="str">
        <f aca="false">IF(A103="","",IF(T103&lt;&gt;"","B2B",IF(AND(O103="Yes",SUMIF($A$5:$A$1004,A103,$L$5:$L$1004)+SUMIF($A$5:$A$1004,A103,$P$5:$P$1004)&gt;100000),"B2CL","B2CS")))</f>
        <v/>
      </c>
      <c r="V103" s="17" t="str">
        <f aca="false">IF(A103="","",TEXT(B103,"mmm-yyyy"))</f>
        <v/>
      </c>
    </row>
    <row r="104" customFormat="false" ht="15" hidden="false" customHeight="true" outlineLevel="0" collapsed="false">
      <c r="A104" s="24"/>
      <c r="B104" s="39"/>
      <c r="C104" s="24"/>
      <c r="D104" s="24"/>
      <c r="E104" s="40"/>
      <c r="F104" s="29"/>
      <c r="G104" s="30"/>
      <c r="H104" s="17" t="str">
        <f aca="false">IF(A104="","",A104&amp;"|"&amp;COUNTIF(A$5:A104,A104))</f>
        <v/>
      </c>
      <c r="I104" s="33" t="str">
        <f aca="false">IF(A104="","",IFERROR(INDEX(Items!$B$5:$B$304,MATCH(D104,Items!$A$5:$A$304,0))&amp;"",""))</f>
        <v/>
      </c>
      <c r="J104" s="34" t="str">
        <f aca="false">IF(A104="","",IFERROR(INDEX(Items!$C$5:$C$304,MATCH(D104,Items!$A$5:$A$304,0))&amp;"",""))</f>
        <v/>
      </c>
      <c r="K104" s="35" t="n">
        <f aca="false">IF(A104="",0,IF(ISNUMBER(F104),F104,IFERROR(INDEX(Items!$D$5:$D$304,MATCH(D104,Items!$A$5:$A$304,0)),0)))</f>
        <v>0</v>
      </c>
      <c r="L104" s="35" t="n">
        <f aca="false">ROUND(N(E104)*K104*(1-N(G104)),2)</f>
        <v>0</v>
      </c>
      <c r="M104" s="36" t="n">
        <f aca="false">IF(A104="",0,IFERROR(INDEX(Items!$E$5:$E$304,MATCH(D104,Items!$A$5:$A$304,0)),0))</f>
        <v>0</v>
      </c>
      <c r="N104" s="37" t="str">
        <f aca="false">IF(A104="","",IFERROR(INDEX(Customers!$E$5:$E$204,MATCH(C104,Customers!$A$5:$A$204,0)),"?"))</f>
        <v/>
      </c>
      <c r="O104" s="38" t="str">
        <f aca="false">IF(A104="","",IF(N104=Settings!$B$17,"No","Yes"))</f>
        <v/>
      </c>
      <c r="P104" s="35" t="n">
        <f aca="false">IF(O104="Yes",ROUND(L104*M104,2),0)</f>
        <v>0</v>
      </c>
      <c r="Q104" s="35" t="n">
        <f aca="false">IF(O104="No",ROUND(L104*M104/2,2),0)</f>
        <v>0</v>
      </c>
      <c r="R104" s="35" t="n">
        <f aca="false">Q104</f>
        <v>0</v>
      </c>
      <c r="S104" s="35" t="n">
        <f aca="false">L104+P104+Q104+R104</f>
        <v>0</v>
      </c>
      <c r="T104" s="34" t="str">
        <f aca="false">IF(A104="","",IFERROR(INDEX(Customers!$B$5:$B$204,MATCH(C104,Customers!$A$5:$A$204,0))&amp;"",""))</f>
        <v/>
      </c>
      <c r="U104" s="38" t="str">
        <f aca="false">IF(A104="","",IF(T104&lt;&gt;"","B2B",IF(AND(O104="Yes",SUMIF($A$5:$A$1004,A104,$L$5:$L$1004)+SUMIF($A$5:$A$1004,A104,$P$5:$P$1004)&gt;100000),"B2CL","B2CS")))</f>
        <v/>
      </c>
      <c r="V104" s="17" t="str">
        <f aca="false">IF(A104="","",TEXT(B104,"mmm-yyyy"))</f>
        <v/>
      </c>
    </row>
    <row r="105" customFormat="false" ht="15" hidden="false" customHeight="true" outlineLevel="0" collapsed="false">
      <c r="A105" s="24"/>
      <c r="B105" s="39"/>
      <c r="C105" s="24"/>
      <c r="D105" s="24"/>
      <c r="E105" s="40"/>
      <c r="F105" s="29"/>
      <c r="G105" s="30"/>
      <c r="H105" s="17" t="str">
        <f aca="false">IF(A105="","",A105&amp;"|"&amp;COUNTIF(A$5:A105,A105))</f>
        <v/>
      </c>
      <c r="I105" s="33" t="str">
        <f aca="false">IF(A105="","",IFERROR(INDEX(Items!$B$5:$B$304,MATCH(D105,Items!$A$5:$A$304,0))&amp;"",""))</f>
        <v/>
      </c>
      <c r="J105" s="34" t="str">
        <f aca="false">IF(A105="","",IFERROR(INDEX(Items!$C$5:$C$304,MATCH(D105,Items!$A$5:$A$304,0))&amp;"",""))</f>
        <v/>
      </c>
      <c r="K105" s="35" t="n">
        <f aca="false">IF(A105="",0,IF(ISNUMBER(F105),F105,IFERROR(INDEX(Items!$D$5:$D$304,MATCH(D105,Items!$A$5:$A$304,0)),0)))</f>
        <v>0</v>
      </c>
      <c r="L105" s="35" t="n">
        <f aca="false">ROUND(N(E105)*K105*(1-N(G105)),2)</f>
        <v>0</v>
      </c>
      <c r="M105" s="36" t="n">
        <f aca="false">IF(A105="",0,IFERROR(INDEX(Items!$E$5:$E$304,MATCH(D105,Items!$A$5:$A$304,0)),0))</f>
        <v>0</v>
      </c>
      <c r="N105" s="37" t="str">
        <f aca="false">IF(A105="","",IFERROR(INDEX(Customers!$E$5:$E$204,MATCH(C105,Customers!$A$5:$A$204,0)),"?"))</f>
        <v/>
      </c>
      <c r="O105" s="38" t="str">
        <f aca="false">IF(A105="","",IF(N105=Settings!$B$17,"No","Yes"))</f>
        <v/>
      </c>
      <c r="P105" s="35" t="n">
        <f aca="false">IF(O105="Yes",ROUND(L105*M105,2),0)</f>
        <v>0</v>
      </c>
      <c r="Q105" s="35" t="n">
        <f aca="false">IF(O105="No",ROUND(L105*M105/2,2),0)</f>
        <v>0</v>
      </c>
      <c r="R105" s="35" t="n">
        <f aca="false">Q105</f>
        <v>0</v>
      </c>
      <c r="S105" s="35" t="n">
        <f aca="false">L105+P105+Q105+R105</f>
        <v>0</v>
      </c>
      <c r="T105" s="34" t="str">
        <f aca="false">IF(A105="","",IFERROR(INDEX(Customers!$B$5:$B$204,MATCH(C105,Customers!$A$5:$A$204,0))&amp;"",""))</f>
        <v/>
      </c>
      <c r="U105" s="38" t="str">
        <f aca="false">IF(A105="","",IF(T105&lt;&gt;"","B2B",IF(AND(O105="Yes",SUMIF($A$5:$A$1004,A105,$L$5:$L$1004)+SUMIF($A$5:$A$1004,A105,$P$5:$P$1004)&gt;100000),"B2CL","B2CS")))</f>
        <v/>
      </c>
      <c r="V105" s="17" t="str">
        <f aca="false">IF(A105="","",TEXT(B105,"mmm-yyyy"))</f>
        <v/>
      </c>
    </row>
    <row r="106" customFormat="false" ht="15" hidden="false" customHeight="true" outlineLevel="0" collapsed="false">
      <c r="A106" s="24"/>
      <c r="B106" s="39"/>
      <c r="C106" s="24"/>
      <c r="D106" s="24"/>
      <c r="E106" s="40"/>
      <c r="F106" s="29"/>
      <c r="G106" s="30"/>
      <c r="H106" s="17" t="str">
        <f aca="false">IF(A106="","",A106&amp;"|"&amp;COUNTIF(A$5:A106,A106))</f>
        <v/>
      </c>
      <c r="I106" s="33" t="str">
        <f aca="false">IF(A106="","",IFERROR(INDEX(Items!$B$5:$B$304,MATCH(D106,Items!$A$5:$A$304,0))&amp;"",""))</f>
        <v/>
      </c>
      <c r="J106" s="34" t="str">
        <f aca="false">IF(A106="","",IFERROR(INDEX(Items!$C$5:$C$304,MATCH(D106,Items!$A$5:$A$304,0))&amp;"",""))</f>
        <v/>
      </c>
      <c r="K106" s="35" t="n">
        <f aca="false">IF(A106="",0,IF(ISNUMBER(F106),F106,IFERROR(INDEX(Items!$D$5:$D$304,MATCH(D106,Items!$A$5:$A$304,0)),0)))</f>
        <v>0</v>
      </c>
      <c r="L106" s="35" t="n">
        <f aca="false">ROUND(N(E106)*K106*(1-N(G106)),2)</f>
        <v>0</v>
      </c>
      <c r="M106" s="36" t="n">
        <f aca="false">IF(A106="",0,IFERROR(INDEX(Items!$E$5:$E$304,MATCH(D106,Items!$A$5:$A$304,0)),0))</f>
        <v>0</v>
      </c>
      <c r="N106" s="37" t="str">
        <f aca="false">IF(A106="","",IFERROR(INDEX(Customers!$E$5:$E$204,MATCH(C106,Customers!$A$5:$A$204,0)),"?"))</f>
        <v/>
      </c>
      <c r="O106" s="38" t="str">
        <f aca="false">IF(A106="","",IF(N106=Settings!$B$17,"No","Yes"))</f>
        <v/>
      </c>
      <c r="P106" s="35" t="n">
        <f aca="false">IF(O106="Yes",ROUND(L106*M106,2),0)</f>
        <v>0</v>
      </c>
      <c r="Q106" s="35" t="n">
        <f aca="false">IF(O106="No",ROUND(L106*M106/2,2),0)</f>
        <v>0</v>
      </c>
      <c r="R106" s="35" t="n">
        <f aca="false">Q106</f>
        <v>0</v>
      </c>
      <c r="S106" s="35" t="n">
        <f aca="false">L106+P106+Q106+R106</f>
        <v>0</v>
      </c>
      <c r="T106" s="34" t="str">
        <f aca="false">IF(A106="","",IFERROR(INDEX(Customers!$B$5:$B$204,MATCH(C106,Customers!$A$5:$A$204,0))&amp;"",""))</f>
        <v/>
      </c>
      <c r="U106" s="38" t="str">
        <f aca="false">IF(A106="","",IF(T106&lt;&gt;"","B2B",IF(AND(O106="Yes",SUMIF($A$5:$A$1004,A106,$L$5:$L$1004)+SUMIF($A$5:$A$1004,A106,$P$5:$P$1004)&gt;100000),"B2CL","B2CS")))</f>
        <v/>
      </c>
      <c r="V106" s="17" t="str">
        <f aca="false">IF(A106="","",TEXT(B106,"mmm-yyyy"))</f>
        <v/>
      </c>
    </row>
    <row r="107" customFormat="false" ht="15" hidden="false" customHeight="true" outlineLevel="0" collapsed="false">
      <c r="A107" s="24"/>
      <c r="B107" s="39"/>
      <c r="C107" s="24"/>
      <c r="D107" s="24"/>
      <c r="E107" s="40"/>
      <c r="F107" s="29"/>
      <c r="G107" s="30"/>
      <c r="H107" s="17" t="str">
        <f aca="false">IF(A107="","",A107&amp;"|"&amp;COUNTIF(A$5:A107,A107))</f>
        <v/>
      </c>
      <c r="I107" s="33" t="str">
        <f aca="false">IF(A107="","",IFERROR(INDEX(Items!$B$5:$B$304,MATCH(D107,Items!$A$5:$A$304,0))&amp;"",""))</f>
        <v/>
      </c>
      <c r="J107" s="34" t="str">
        <f aca="false">IF(A107="","",IFERROR(INDEX(Items!$C$5:$C$304,MATCH(D107,Items!$A$5:$A$304,0))&amp;"",""))</f>
        <v/>
      </c>
      <c r="K107" s="35" t="n">
        <f aca="false">IF(A107="",0,IF(ISNUMBER(F107),F107,IFERROR(INDEX(Items!$D$5:$D$304,MATCH(D107,Items!$A$5:$A$304,0)),0)))</f>
        <v>0</v>
      </c>
      <c r="L107" s="35" t="n">
        <f aca="false">ROUND(N(E107)*K107*(1-N(G107)),2)</f>
        <v>0</v>
      </c>
      <c r="M107" s="36" t="n">
        <f aca="false">IF(A107="",0,IFERROR(INDEX(Items!$E$5:$E$304,MATCH(D107,Items!$A$5:$A$304,0)),0))</f>
        <v>0</v>
      </c>
      <c r="N107" s="37" t="str">
        <f aca="false">IF(A107="","",IFERROR(INDEX(Customers!$E$5:$E$204,MATCH(C107,Customers!$A$5:$A$204,0)),"?"))</f>
        <v/>
      </c>
      <c r="O107" s="38" t="str">
        <f aca="false">IF(A107="","",IF(N107=Settings!$B$17,"No","Yes"))</f>
        <v/>
      </c>
      <c r="P107" s="35" t="n">
        <f aca="false">IF(O107="Yes",ROUND(L107*M107,2),0)</f>
        <v>0</v>
      </c>
      <c r="Q107" s="35" t="n">
        <f aca="false">IF(O107="No",ROUND(L107*M107/2,2),0)</f>
        <v>0</v>
      </c>
      <c r="R107" s="35" t="n">
        <f aca="false">Q107</f>
        <v>0</v>
      </c>
      <c r="S107" s="35" t="n">
        <f aca="false">L107+P107+Q107+R107</f>
        <v>0</v>
      </c>
      <c r="T107" s="34" t="str">
        <f aca="false">IF(A107="","",IFERROR(INDEX(Customers!$B$5:$B$204,MATCH(C107,Customers!$A$5:$A$204,0))&amp;"",""))</f>
        <v/>
      </c>
      <c r="U107" s="38" t="str">
        <f aca="false">IF(A107="","",IF(T107&lt;&gt;"","B2B",IF(AND(O107="Yes",SUMIF($A$5:$A$1004,A107,$L$5:$L$1004)+SUMIF($A$5:$A$1004,A107,$P$5:$P$1004)&gt;100000),"B2CL","B2CS")))</f>
        <v/>
      </c>
      <c r="V107" s="17" t="str">
        <f aca="false">IF(A107="","",TEXT(B107,"mmm-yyyy"))</f>
        <v/>
      </c>
    </row>
    <row r="108" customFormat="false" ht="15" hidden="false" customHeight="true" outlineLevel="0" collapsed="false">
      <c r="A108" s="24"/>
      <c r="B108" s="39"/>
      <c r="C108" s="24"/>
      <c r="D108" s="24"/>
      <c r="E108" s="40"/>
      <c r="F108" s="29"/>
      <c r="G108" s="30"/>
      <c r="H108" s="17" t="str">
        <f aca="false">IF(A108="","",A108&amp;"|"&amp;COUNTIF(A$5:A108,A108))</f>
        <v/>
      </c>
      <c r="I108" s="33" t="str">
        <f aca="false">IF(A108="","",IFERROR(INDEX(Items!$B$5:$B$304,MATCH(D108,Items!$A$5:$A$304,0))&amp;"",""))</f>
        <v/>
      </c>
      <c r="J108" s="34" t="str">
        <f aca="false">IF(A108="","",IFERROR(INDEX(Items!$C$5:$C$304,MATCH(D108,Items!$A$5:$A$304,0))&amp;"",""))</f>
        <v/>
      </c>
      <c r="K108" s="35" t="n">
        <f aca="false">IF(A108="",0,IF(ISNUMBER(F108),F108,IFERROR(INDEX(Items!$D$5:$D$304,MATCH(D108,Items!$A$5:$A$304,0)),0)))</f>
        <v>0</v>
      </c>
      <c r="L108" s="35" t="n">
        <f aca="false">ROUND(N(E108)*K108*(1-N(G108)),2)</f>
        <v>0</v>
      </c>
      <c r="M108" s="36" t="n">
        <f aca="false">IF(A108="",0,IFERROR(INDEX(Items!$E$5:$E$304,MATCH(D108,Items!$A$5:$A$304,0)),0))</f>
        <v>0</v>
      </c>
      <c r="N108" s="37" t="str">
        <f aca="false">IF(A108="","",IFERROR(INDEX(Customers!$E$5:$E$204,MATCH(C108,Customers!$A$5:$A$204,0)),"?"))</f>
        <v/>
      </c>
      <c r="O108" s="38" t="str">
        <f aca="false">IF(A108="","",IF(N108=Settings!$B$17,"No","Yes"))</f>
        <v/>
      </c>
      <c r="P108" s="35" t="n">
        <f aca="false">IF(O108="Yes",ROUND(L108*M108,2),0)</f>
        <v>0</v>
      </c>
      <c r="Q108" s="35" t="n">
        <f aca="false">IF(O108="No",ROUND(L108*M108/2,2),0)</f>
        <v>0</v>
      </c>
      <c r="R108" s="35" t="n">
        <f aca="false">Q108</f>
        <v>0</v>
      </c>
      <c r="S108" s="35" t="n">
        <f aca="false">L108+P108+Q108+R108</f>
        <v>0</v>
      </c>
      <c r="T108" s="34" t="str">
        <f aca="false">IF(A108="","",IFERROR(INDEX(Customers!$B$5:$B$204,MATCH(C108,Customers!$A$5:$A$204,0))&amp;"",""))</f>
        <v/>
      </c>
      <c r="U108" s="38" t="str">
        <f aca="false">IF(A108="","",IF(T108&lt;&gt;"","B2B",IF(AND(O108="Yes",SUMIF($A$5:$A$1004,A108,$L$5:$L$1004)+SUMIF($A$5:$A$1004,A108,$P$5:$P$1004)&gt;100000),"B2CL","B2CS")))</f>
        <v/>
      </c>
      <c r="V108" s="17" t="str">
        <f aca="false">IF(A108="","",TEXT(B108,"mmm-yyyy"))</f>
        <v/>
      </c>
    </row>
    <row r="109" customFormat="false" ht="15" hidden="false" customHeight="true" outlineLevel="0" collapsed="false">
      <c r="A109" s="24"/>
      <c r="B109" s="39"/>
      <c r="C109" s="24"/>
      <c r="D109" s="24"/>
      <c r="E109" s="40"/>
      <c r="F109" s="29"/>
      <c r="G109" s="30"/>
      <c r="H109" s="17" t="str">
        <f aca="false">IF(A109="","",A109&amp;"|"&amp;COUNTIF(A$5:A109,A109))</f>
        <v/>
      </c>
      <c r="I109" s="33" t="str">
        <f aca="false">IF(A109="","",IFERROR(INDEX(Items!$B$5:$B$304,MATCH(D109,Items!$A$5:$A$304,0))&amp;"",""))</f>
        <v/>
      </c>
      <c r="J109" s="34" t="str">
        <f aca="false">IF(A109="","",IFERROR(INDEX(Items!$C$5:$C$304,MATCH(D109,Items!$A$5:$A$304,0))&amp;"",""))</f>
        <v/>
      </c>
      <c r="K109" s="35" t="n">
        <f aca="false">IF(A109="",0,IF(ISNUMBER(F109),F109,IFERROR(INDEX(Items!$D$5:$D$304,MATCH(D109,Items!$A$5:$A$304,0)),0)))</f>
        <v>0</v>
      </c>
      <c r="L109" s="35" t="n">
        <f aca="false">ROUND(N(E109)*K109*(1-N(G109)),2)</f>
        <v>0</v>
      </c>
      <c r="M109" s="36" t="n">
        <f aca="false">IF(A109="",0,IFERROR(INDEX(Items!$E$5:$E$304,MATCH(D109,Items!$A$5:$A$304,0)),0))</f>
        <v>0</v>
      </c>
      <c r="N109" s="37" t="str">
        <f aca="false">IF(A109="","",IFERROR(INDEX(Customers!$E$5:$E$204,MATCH(C109,Customers!$A$5:$A$204,0)),"?"))</f>
        <v/>
      </c>
      <c r="O109" s="38" t="str">
        <f aca="false">IF(A109="","",IF(N109=Settings!$B$17,"No","Yes"))</f>
        <v/>
      </c>
      <c r="P109" s="35" t="n">
        <f aca="false">IF(O109="Yes",ROUND(L109*M109,2),0)</f>
        <v>0</v>
      </c>
      <c r="Q109" s="35" t="n">
        <f aca="false">IF(O109="No",ROUND(L109*M109/2,2),0)</f>
        <v>0</v>
      </c>
      <c r="R109" s="35" t="n">
        <f aca="false">Q109</f>
        <v>0</v>
      </c>
      <c r="S109" s="35" t="n">
        <f aca="false">L109+P109+Q109+R109</f>
        <v>0</v>
      </c>
      <c r="T109" s="34" t="str">
        <f aca="false">IF(A109="","",IFERROR(INDEX(Customers!$B$5:$B$204,MATCH(C109,Customers!$A$5:$A$204,0))&amp;"",""))</f>
        <v/>
      </c>
      <c r="U109" s="38" t="str">
        <f aca="false">IF(A109="","",IF(T109&lt;&gt;"","B2B",IF(AND(O109="Yes",SUMIF($A$5:$A$1004,A109,$L$5:$L$1004)+SUMIF($A$5:$A$1004,A109,$P$5:$P$1004)&gt;100000),"B2CL","B2CS")))</f>
        <v/>
      </c>
      <c r="V109" s="17" t="str">
        <f aca="false">IF(A109="","",TEXT(B109,"mmm-yyyy"))</f>
        <v/>
      </c>
    </row>
    <row r="110" customFormat="false" ht="15" hidden="false" customHeight="true" outlineLevel="0" collapsed="false">
      <c r="A110" s="24"/>
      <c r="B110" s="39"/>
      <c r="C110" s="24"/>
      <c r="D110" s="24"/>
      <c r="E110" s="40"/>
      <c r="F110" s="29"/>
      <c r="G110" s="30"/>
      <c r="H110" s="17" t="str">
        <f aca="false">IF(A110="","",A110&amp;"|"&amp;COUNTIF(A$5:A110,A110))</f>
        <v/>
      </c>
      <c r="I110" s="33" t="str">
        <f aca="false">IF(A110="","",IFERROR(INDEX(Items!$B$5:$B$304,MATCH(D110,Items!$A$5:$A$304,0))&amp;"",""))</f>
        <v/>
      </c>
      <c r="J110" s="34" t="str">
        <f aca="false">IF(A110="","",IFERROR(INDEX(Items!$C$5:$C$304,MATCH(D110,Items!$A$5:$A$304,0))&amp;"",""))</f>
        <v/>
      </c>
      <c r="K110" s="35" t="n">
        <f aca="false">IF(A110="",0,IF(ISNUMBER(F110),F110,IFERROR(INDEX(Items!$D$5:$D$304,MATCH(D110,Items!$A$5:$A$304,0)),0)))</f>
        <v>0</v>
      </c>
      <c r="L110" s="35" t="n">
        <f aca="false">ROUND(N(E110)*K110*(1-N(G110)),2)</f>
        <v>0</v>
      </c>
      <c r="M110" s="36" t="n">
        <f aca="false">IF(A110="",0,IFERROR(INDEX(Items!$E$5:$E$304,MATCH(D110,Items!$A$5:$A$304,0)),0))</f>
        <v>0</v>
      </c>
      <c r="N110" s="37" t="str">
        <f aca="false">IF(A110="","",IFERROR(INDEX(Customers!$E$5:$E$204,MATCH(C110,Customers!$A$5:$A$204,0)),"?"))</f>
        <v/>
      </c>
      <c r="O110" s="38" t="str">
        <f aca="false">IF(A110="","",IF(N110=Settings!$B$17,"No","Yes"))</f>
        <v/>
      </c>
      <c r="P110" s="35" t="n">
        <f aca="false">IF(O110="Yes",ROUND(L110*M110,2),0)</f>
        <v>0</v>
      </c>
      <c r="Q110" s="35" t="n">
        <f aca="false">IF(O110="No",ROUND(L110*M110/2,2),0)</f>
        <v>0</v>
      </c>
      <c r="R110" s="35" t="n">
        <f aca="false">Q110</f>
        <v>0</v>
      </c>
      <c r="S110" s="35" t="n">
        <f aca="false">L110+P110+Q110+R110</f>
        <v>0</v>
      </c>
      <c r="T110" s="34" t="str">
        <f aca="false">IF(A110="","",IFERROR(INDEX(Customers!$B$5:$B$204,MATCH(C110,Customers!$A$5:$A$204,0))&amp;"",""))</f>
        <v/>
      </c>
      <c r="U110" s="38" t="str">
        <f aca="false">IF(A110="","",IF(T110&lt;&gt;"","B2B",IF(AND(O110="Yes",SUMIF($A$5:$A$1004,A110,$L$5:$L$1004)+SUMIF($A$5:$A$1004,A110,$P$5:$P$1004)&gt;100000),"B2CL","B2CS")))</f>
        <v/>
      </c>
      <c r="V110" s="17" t="str">
        <f aca="false">IF(A110="","",TEXT(B110,"mmm-yyyy"))</f>
        <v/>
      </c>
    </row>
    <row r="111" customFormat="false" ht="15" hidden="false" customHeight="true" outlineLevel="0" collapsed="false">
      <c r="A111" s="24"/>
      <c r="B111" s="39"/>
      <c r="C111" s="24"/>
      <c r="D111" s="24"/>
      <c r="E111" s="40"/>
      <c r="F111" s="29"/>
      <c r="G111" s="30"/>
      <c r="H111" s="17" t="str">
        <f aca="false">IF(A111="","",A111&amp;"|"&amp;COUNTIF(A$5:A111,A111))</f>
        <v/>
      </c>
      <c r="I111" s="33" t="str">
        <f aca="false">IF(A111="","",IFERROR(INDEX(Items!$B$5:$B$304,MATCH(D111,Items!$A$5:$A$304,0))&amp;"",""))</f>
        <v/>
      </c>
      <c r="J111" s="34" t="str">
        <f aca="false">IF(A111="","",IFERROR(INDEX(Items!$C$5:$C$304,MATCH(D111,Items!$A$5:$A$304,0))&amp;"",""))</f>
        <v/>
      </c>
      <c r="K111" s="35" t="n">
        <f aca="false">IF(A111="",0,IF(ISNUMBER(F111),F111,IFERROR(INDEX(Items!$D$5:$D$304,MATCH(D111,Items!$A$5:$A$304,0)),0)))</f>
        <v>0</v>
      </c>
      <c r="L111" s="35" t="n">
        <f aca="false">ROUND(N(E111)*K111*(1-N(G111)),2)</f>
        <v>0</v>
      </c>
      <c r="M111" s="36" t="n">
        <f aca="false">IF(A111="",0,IFERROR(INDEX(Items!$E$5:$E$304,MATCH(D111,Items!$A$5:$A$304,0)),0))</f>
        <v>0</v>
      </c>
      <c r="N111" s="37" t="str">
        <f aca="false">IF(A111="","",IFERROR(INDEX(Customers!$E$5:$E$204,MATCH(C111,Customers!$A$5:$A$204,0)),"?"))</f>
        <v/>
      </c>
      <c r="O111" s="38" t="str">
        <f aca="false">IF(A111="","",IF(N111=Settings!$B$17,"No","Yes"))</f>
        <v/>
      </c>
      <c r="P111" s="35" t="n">
        <f aca="false">IF(O111="Yes",ROUND(L111*M111,2),0)</f>
        <v>0</v>
      </c>
      <c r="Q111" s="35" t="n">
        <f aca="false">IF(O111="No",ROUND(L111*M111/2,2),0)</f>
        <v>0</v>
      </c>
      <c r="R111" s="35" t="n">
        <f aca="false">Q111</f>
        <v>0</v>
      </c>
      <c r="S111" s="35" t="n">
        <f aca="false">L111+P111+Q111+R111</f>
        <v>0</v>
      </c>
      <c r="T111" s="34" t="str">
        <f aca="false">IF(A111="","",IFERROR(INDEX(Customers!$B$5:$B$204,MATCH(C111,Customers!$A$5:$A$204,0))&amp;"",""))</f>
        <v/>
      </c>
      <c r="U111" s="38" t="str">
        <f aca="false">IF(A111="","",IF(T111&lt;&gt;"","B2B",IF(AND(O111="Yes",SUMIF($A$5:$A$1004,A111,$L$5:$L$1004)+SUMIF($A$5:$A$1004,A111,$P$5:$P$1004)&gt;100000),"B2CL","B2CS")))</f>
        <v/>
      </c>
      <c r="V111" s="17" t="str">
        <f aca="false">IF(A111="","",TEXT(B111,"mmm-yyyy"))</f>
        <v/>
      </c>
    </row>
    <row r="112" customFormat="false" ht="15" hidden="false" customHeight="true" outlineLevel="0" collapsed="false">
      <c r="A112" s="24"/>
      <c r="B112" s="39"/>
      <c r="C112" s="24"/>
      <c r="D112" s="24"/>
      <c r="E112" s="40"/>
      <c r="F112" s="29"/>
      <c r="G112" s="30"/>
      <c r="H112" s="17" t="str">
        <f aca="false">IF(A112="","",A112&amp;"|"&amp;COUNTIF(A$5:A112,A112))</f>
        <v/>
      </c>
      <c r="I112" s="33" t="str">
        <f aca="false">IF(A112="","",IFERROR(INDEX(Items!$B$5:$B$304,MATCH(D112,Items!$A$5:$A$304,0))&amp;"",""))</f>
        <v/>
      </c>
      <c r="J112" s="34" t="str">
        <f aca="false">IF(A112="","",IFERROR(INDEX(Items!$C$5:$C$304,MATCH(D112,Items!$A$5:$A$304,0))&amp;"",""))</f>
        <v/>
      </c>
      <c r="K112" s="35" t="n">
        <f aca="false">IF(A112="",0,IF(ISNUMBER(F112),F112,IFERROR(INDEX(Items!$D$5:$D$304,MATCH(D112,Items!$A$5:$A$304,0)),0)))</f>
        <v>0</v>
      </c>
      <c r="L112" s="35" t="n">
        <f aca="false">ROUND(N(E112)*K112*(1-N(G112)),2)</f>
        <v>0</v>
      </c>
      <c r="M112" s="36" t="n">
        <f aca="false">IF(A112="",0,IFERROR(INDEX(Items!$E$5:$E$304,MATCH(D112,Items!$A$5:$A$304,0)),0))</f>
        <v>0</v>
      </c>
      <c r="N112" s="37" t="str">
        <f aca="false">IF(A112="","",IFERROR(INDEX(Customers!$E$5:$E$204,MATCH(C112,Customers!$A$5:$A$204,0)),"?"))</f>
        <v/>
      </c>
      <c r="O112" s="38" t="str">
        <f aca="false">IF(A112="","",IF(N112=Settings!$B$17,"No","Yes"))</f>
        <v/>
      </c>
      <c r="P112" s="35" t="n">
        <f aca="false">IF(O112="Yes",ROUND(L112*M112,2),0)</f>
        <v>0</v>
      </c>
      <c r="Q112" s="35" t="n">
        <f aca="false">IF(O112="No",ROUND(L112*M112/2,2),0)</f>
        <v>0</v>
      </c>
      <c r="R112" s="35" t="n">
        <f aca="false">Q112</f>
        <v>0</v>
      </c>
      <c r="S112" s="35" t="n">
        <f aca="false">L112+P112+Q112+R112</f>
        <v>0</v>
      </c>
      <c r="T112" s="34" t="str">
        <f aca="false">IF(A112="","",IFERROR(INDEX(Customers!$B$5:$B$204,MATCH(C112,Customers!$A$5:$A$204,0))&amp;"",""))</f>
        <v/>
      </c>
      <c r="U112" s="38" t="str">
        <f aca="false">IF(A112="","",IF(T112&lt;&gt;"","B2B",IF(AND(O112="Yes",SUMIF($A$5:$A$1004,A112,$L$5:$L$1004)+SUMIF($A$5:$A$1004,A112,$P$5:$P$1004)&gt;100000),"B2CL","B2CS")))</f>
        <v/>
      </c>
      <c r="V112" s="17" t="str">
        <f aca="false">IF(A112="","",TEXT(B112,"mmm-yyyy"))</f>
        <v/>
      </c>
    </row>
    <row r="113" customFormat="false" ht="15" hidden="false" customHeight="true" outlineLevel="0" collapsed="false">
      <c r="A113" s="24"/>
      <c r="B113" s="39"/>
      <c r="C113" s="24"/>
      <c r="D113" s="24"/>
      <c r="E113" s="40"/>
      <c r="F113" s="29"/>
      <c r="G113" s="30"/>
      <c r="H113" s="17" t="str">
        <f aca="false">IF(A113="","",A113&amp;"|"&amp;COUNTIF(A$5:A113,A113))</f>
        <v/>
      </c>
      <c r="I113" s="33" t="str">
        <f aca="false">IF(A113="","",IFERROR(INDEX(Items!$B$5:$B$304,MATCH(D113,Items!$A$5:$A$304,0))&amp;"",""))</f>
        <v/>
      </c>
      <c r="J113" s="34" t="str">
        <f aca="false">IF(A113="","",IFERROR(INDEX(Items!$C$5:$C$304,MATCH(D113,Items!$A$5:$A$304,0))&amp;"",""))</f>
        <v/>
      </c>
      <c r="K113" s="35" t="n">
        <f aca="false">IF(A113="",0,IF(ISNUMBER(F113),F113,IFERROR(INDEX(Items!$D$5:$D$304,MATCH(D113,Items!$A$5:$A$304,0)),0)))</f>
        <v>0</v>
      </c>
      <c r="L113" s="35" t="n">
        <f aca="false">ROUND(N(E113)*K113*(1-N(G113)),2)</f>
        <v>0</v>
      </c>
      <c r="M113" s="36" t="n">
        <f aca="false">IF(A113="",0,IFERROR(INDEX(Items!$E$5:$E$304,MATCH(D113,Items!$A$5:$A$304,0)),0))</f>
        <v>0</v>
      </c>
      <c r="N113" s="37" t="str">
        <f aca="false">IF(A113="","",IFERROR(INDEX(Customers!$E$5:$E$204,MATCH(C113,Customers!$A$5:$A$204,0)),"?"))</f>
        <v/>
      </c>
      <c r="O113" s="38" t="str">
        <f aca="false">IF(A113="","",IF(N113=Settings!$B$17,"No","Yes"))</f>
        <v/>
      </c>
      <c r="P113" s="35" t="n">
        <f aca="false">IF(O113="Yes",ROUND(L113*M113,2),0)</f>
        <v>0</v>
      </c>
      <c r="Q113" s="35" t="n">
        <f aca="false">IF(O113="No",ROUND(L113*M113/2,2),0)</f>
        <v>0</v>
      </c>
      <c r="R113" s="35" t="n">
        <f aca="false">Q113</f>
        <v>0</v>
      </c>
      <c r="S113" s="35" t="n">
        <f aca="false">L113+P113+Q113+R113</f>
        <v>0</v>
      </c>
      <c r="T113" s="34" t="str">
        <f aca="false">IF(A113="","",IFERROR(INDEX(Customers!$B$5:$B$204,MATCH(C113,Customers!$A$5:$A$204,0))&amp;"",""))</f>
        <v/>
      </c>
      <c r="U113" s="38" t="str">
        <f aca="false">IF(A113="","",IF(T113&lt;&gt;"","B2B",IF(AND(O113="Yes",SUMIF($A$5:$A$1004,A113,$L$5:$L$1004)+SUMIF($A$5:$A$1004,A113,$P$5:$P$1004)&gt;100000),"B2CL","B2CS")))</f>
        <v/>
      </c>
      <c r="V113" s="17" t="str">
        <f aca="false">IF(A113="","",TEXT(B113,"mmm-yyyy"))</f>
        <v/>
      </c>
    </row>
    <row r="114" customFormat="false" ht="15" hidden="false" customHeight="true" outlineLevel="0" collapsed="false">
      <c r="A114" s="24"/>
      <c r="B114" s="39"/>
      <c r="C114" s="24"/>
      <c r="D114" s="24"/>
      <c r="E114" s="40"/>
      <c r="F114" s="29"/>
      <c r="G114" s="30"/>
      <c r="H114" s="17" t="str">
        <f aca="false">IF(A114="","",A114&amp;"|"&amp;COUNTIF(A$5:A114,A114))</f>
        <v/>
      </c>
      <c r="I114" s="33" t="str">
        <f aca="false">IF(A114="","",IFERROR(INDEX(Items!$B$5:$B$304,MATCH(D114,Items!$A$5:$A$304,0))&amp;"",""))</f>
        <v/>
      </c>
      <c r="J114" s="34" t="str">
        <f aca="false">IF(A114="","",IFERROR(INDEX(Items!$C$5:$C$304,MATCH(D114,Items!$A$5:$A$304,0))&amp;"",""))</f>
        <v/>
      </c>
      <c r="K114" s="35" t="n">
        <f aca="false">IF(A114="",0,IF(ISNUMBER(F114),F114,IFERROR(INDEX(Items!$D$5:$D$304,MATCH(D114,Items!$A$5:$A$304,0)),0)))</f>
        <v>0</v>
      </c>
      <c r="L114" s="35" t="n">
        <f aca="false">ROUND(N(E114)*K114*(1-N(G114)),2)</f>
        <v>0</v>
      </c>
      <c r="M114" s="36" t="n">
        <f aca="false">IF(A114="",0,IFERROR(INDEX(Items!$E$5:$E$304,MATCH(D114,Items!$A$5:$A$304,0)),0))</f>
        <v>0</v>
      </c>
      <c r="N114" s="37" t="str">
        <f aca="false">IF(A114="","",IFERROR(INDEX(Customers!$E$5:$E$204,MATCH(C114,Customers!$A$5:$A$204,0)),"?"))</f>
        <v/>
      </c>
      <c r="O114" s="38" t="str">
        <f aca="false">IF(A114="","",IF(N114=Settings!$B$17,"No","Yes"))</f>
        <v/>
      </c>
      <c r="P114" s="35" t="n">
        <f aca="false">IF(O114="Yes",ROUND(L114*M114,2),0)</f>
        <v>0</v>
      </c>
      <c r="Q114" s="35" t="n">
        <f aca="false">IF(O114="No",ROUND(L114*M114/2,2),0)</f>
        <v>0</v>
      </c>
      <c r="R114" s="35" t="n">
        <f aca="false">Q114</f>
        <v>0</v>
      </c>
      <c r="S114" s="35" t="n">
        <f aca="false">L114+P114+Q114+R114</f>
        <v>0</v>
      </c>
      <c r="T114" s="34" t="str">
        <f aca="false">IF(A114="","",IFERROR(INDEX(Customers!$B$5:$B$204,MATCH(C114,Customers!$A$5:$A$204,0))&amp;"",""))</f>
        <v/>
      </c>
      <c r="U114" s="38" t="str">
        <f aca="false">IF(A114="","",IF(T114&lt;&gt;"","B2B",IF(AND(O114="Yes",SUMIF($A$5:$A$1004,A114,$L$5:$L$1004)+SUMIF($A$5:$A$1004,A114,$P$5:$P$1004)&gt;100000),"B2CL","B2CS")))</f>
        <v/>
      </c>
      <c r="V114" s="17" t="str">
        <f aca="false">IF(A114="","",TEXT(B114,"mmm-yyyy"))</f>
        <v/>
      </c>
    </row>
    <row r="115" customFormat="false" ht="15" hidden="false" customHeight="true" outlineLevel="0" collapsed="false">
      <c r="A115" s="24"/>
      <c r="B115" s="39"/>
      <c r="C115" s="24"/>
      <c r="D115" s="24"/>
      <c r="E115" s="40"/>
      <c r="F115" s="29"/>
      <c r="G115" s="30"/>
      <c r="H115" s="17" t="str">
        <f aca="false">IF(A115="","",A115&amp;"|"&amp;COUNTIF(A$5:A115,A115))</f>
        <v/>
      </c>
      <c r="I115" s="33" t="str">
        <f aca="false">IF(A115="","",IFERROR(INDEX(Items!$B$5:$B$304,MATCH(D115,Items!$A$5:$A$304,0))&amp;"",""))</f>
        <v/>
      </c>
      <c r="J115" s="34" t="str">
        <f aca="false">IF(A115="","",IFERROR(INDEX(Items!$C$5:$C$304,MATCH(D115,Items!$A$5:$A$304,0))&amp;"",""))</f>
        <v/>
      </c>
      <c r="K115" s="35" t="n">
        <f aca="false">IF(A115="",0,IF(ISNUMBER(F115),F115,IFERROR(INDEX(Items!$D$5:$D$304,MATCH(D115,Items!$A$5:$A$304,0)),0)))</f>
        <v>0</v>
      </c>
      <c r="L115" s="35" t="n">
        <f aca="false">ROUND(N(E115)*K115*(1-N(G115)),2)</f>
        <v>0</v>
      </c>
      <c r="M115" s="36" t="n">
        <f aca="false">IF(A115="",0,IFERROR(INDEX(Items!$E$5:$E$304,MATCH(D115,Items!$A$5:$A$304,0)),0))</f>
        <v>0</v>
      </c>
      <c r="N115" s="37" t="str">
        <f aca="false">IF(A115="","",IFERROR(INDEX(Customers!$E$5:$E$204,MATCH(C115,Customers!$A$5:$A$204,0)),"?"))</f>
        <v/>
      </c>
      <c r="O115" s="38" t="str">
        <f aca="false">IF(A115="","",IF(N115=Settings!$B$17,"No","Yes"))</f>
        <v/>
      </c>
      <c r="P115" s="35" t="n">
        <f aca="false">IF(O115="Yes",ROUND(L115*M115,2),0)</f>
        <v>0</v>
      </c>
      <c r="Q115" s="35" t="n">
        <f aca="false">IF(O115="No",ROUND(L115*M115/2,2),0)</f>
        <v>0</v>
      </c>
      <c r="R115" s="35" t="n">
        <f aca="false">Q115</f>
        <v>0</v>
      </c>
      <c r="S115" s="35" t="n">
        <f aca="false">L115+P115+Q115+R115</f>
        <v>0</v>
      </c>
      <c r="T115" s="34" t="str">
        <f aca="false">IF(A115="","",IFERROR(INDEX(Customers!$B$5:$B$204,MATCH(C115,Customers!$A$5:$A$204,0))&amp;"",""))</f>
        <v/>
      </c>
      <c r="U115" s="38" t="str">
        <f aca="false">IF(A115="","",IF(T115&lt;&gt;"","B2B",IF(AND(O115="Yes",SUMIF($A$5:$A$1004,A115,$L$5:$L$1004)+SUMIF($A$5:$A$1004,A115,$P$5:$P$1004)&gt;100000),"B2CL","B2CS")))</f>
        <v/>
      </c>
      <c r="V115" s="17" t="str">
        <f aca="false">IF(A115="","",TEXT(B115,"mmm-yyyy"))</f>
        <v/>
      </c>
    </row>
    <row r="116" customFormat="false" ht="15" hidden="false" customHeight="true" outlineLevel="0" collapsed="false">
      <c r="A116" s="24"/>
      <c r="B116" s="39"/>
      <c r="C116" s="24"/>
      <c r="D116" s="24"/>
      <c r="E116" s="40"/>
      <c r="F116" s="29"/>
      <c r="G116" s="30"/>
      <c r="H116" s="17" t="str">
        <f aca="false">IF(A116="","",A116&amp;"|"&amp;COUNTIF(A$5:A116,A116))</f>
        <v/>
      </c>
      <c r="I116" s="33" t="str">
        <f aca="false">IF(A116="","",IFERROR(INDEX(Items!$B$5:$B$304,MATCH(D116,Items!$A$5:$A$304,0))&amp;"",""))</f>
        <v/>
      </c>
      <c r="J116" s="34" t="str">
        <f aca="false">IF(A116="","",IFERROR(INDEX(Items!$C$5:$C$304,MATCH(D116,Items!$A$5:$A$304,0))&amp;"",""))</f>
        <v/>
      </c>
      <c r="K116" s="35" t="n">
        <f aca="false">IF(A116="",0,IF(ISNUMBER(F116),F116,IFERROR(INDEX(Items!$D$5:$D$304,MATCH(D116,Items!$A$5:$A$304,0)),0)))</f>
        <v>0</v>
      </c>
      <c r="L116" s="35" t="n">
        <f aca="false">ROUND(N(E116)*K116*(1-N(G116)),2)</f>
        <v>0</v>
      </c>
      <c r="M116" s="36" t="n">
        <f aca="false">IF(A116="",0,IFERROR(INDEX(Items!$E$5:$E$304,MATCH(D116,Items!$A$5:$A$304,0)),0))</f>
        <v>0</v>
      </c>
      <c r="N116" s="37" t="str">
        <f aca="false">IF(A116="","",IFERROR(INDEX(Customers!$E$5:$E$204,MATCH(C116,Customers!$A$5:$A$204,0)),"?"))</f>
        <v/>
      </c>
      <c r="O116" s="38" t="str">
        <f aca="false">IF(A116="","",IF(N116=Settings!$B$17,"No","Yes"))</f>
        <v/>
      </c>
      <c r="P116" s="35" t="n">
        <f aca="false">IF(O116="Yes",ROUND(L116*M116,2),0)</f>
        <v>0</v>
      </c>
      <c r="Q116" s="35" t="n">
        <f aca="false">IF(O116="No",ROUND(L116*M116/2,2),0)</f>
        <v>0</v>
      </c>
      <c r="R116" s="35" t="n">
        <f aca="false">Q116</f>
        <v>0</v>
      </c>
      <c r="S116" s="35" t="n">
        <f aca="false">L116+P116+Q116+R116</f>
        <v>0</v>
      </c>
      <c r="T116" s="34" t="str">
        <f aca="false">IF(A116="","",IFERROR(INDEX(Customers!$B$5:$B$204,MATCH(C116,Customers!$A$5:$A$204,0))&amp;"",""))</f>
        <v/>
      </c>
      <c r="U116" s="38" t="str">
        <f aca="false">IF(A116="","",IF(T116&lt;&gt;"","B2B",IF(AND(O116="Yes",SUMIF($A$5:$A$1004,A116,$L$5:$L$1004)+SUMIF($A$5:$A$1004,A116,$P$5:$P$1004)&gt;100000),"B2CL","B2CS")))</f>
        <v/>
      </c>
      <c r="V116" s="17" t="str">
        <f aca="false">IF(A116="","",TEXT(B116,"mmm-yyyy"))</f>
        <v/>
      </c>
    </row>
    <row r="117" customFormat="false" ht="15" hidden="false" customHeight="true" outlineLevel="0" collapsed="false">
      <c r="A117" s="24"/>
      <c r="B117" s="39"/>
      <c r="C117" s="24"/>
      <c r="D117" s="24"/>
      <c r="E117" s="40"/>
      <c r="F117" s="29"/>
      <c r="G117" s="30"/>
      <c r="H117" s="17" t="str">
        <f aca="false">IF(A117="","",A117&amp;"|"&amp;COUNTIF(A$5:A117,A117))</f>
        <v/>
      </c>
      <c r="I117" s="33" t="str">
        <f aca="false">IF(A117="","",IFERROR(INDEX(Items!$B$5:$B$304,MATCH(D117,Items!$A$5:$A$304,0))&amp;"",""))</f>
        <v/>
      </c>
      <c r="J117" s="34" t="str">
        <f aca="false">IF(A117="","",IFERROR(INDEX(Items!$C$5:$C$304,MATCH(D117,Items!$A$5:$A$304,0))&amp;"",""))</f>
        <v/>
      </c>
      <c r="K117" s="35" t="n">
        <f aca="false">IF(A117="",0,IF(ISNUMBER(F117),F117,IFERROR(INDEX(Items!$D$5:$D$304,MATCH(D117,Items!$A$5:$A$304,0)),0)))</f>
        <v>0</v>
      </c>
      <c r="L117" s="35" t="n">
        <f aca="false">ROUND(N(E117)*K117*(1-N(G117)),2)</f>
        <v>0</v>
      </c>
      <c r="M117" s="36" t="n">
        <f aca="false">IF(A117="",0,IFERROR(INDEX(Items!$E$5:$E$304,MATCH(D117,Items!$A$5:$A$304,0)),0))</f>
        <v>0</v>
      </c>
      <c r="N117" s="37" t="str">
        <f aca="false">IF(A117="","",IFERROR(INDEX(Customers!$E$5:$E$204,MATCH(C117,Customers!$A$5:$A$204,0)),"?"))</f>
        <v/>
      </c>
      <c r="O117" s="38" t="str">
        <f aca="false">IF(A117="","",IF(N117=Settings!$B$17,"No","Yes"))</f>
        <v/>
      </c>
      <c r="P117" s="35" t="n">
        <f aca="false">IF(O117="Yes",ROUND(L117*M117,2),0)</f>
        <v>0</v>
      </c>
      <c r="Q117" s="35" t="n">
        <f aca="false">IF(O117="No",ROUND(L117*M117/2,2),0)</f>
        <v>0</v>
      </c>
      <c r="R117" s="35" t="n">
        <f aca="false">Q117</f>
        <v>0</v>
      </c>
      <c r="S117" s="35" t="n">
        <f aca="false">L117+P117+Q117+R117</f>
        <v>0</v>
      </c>
      <c r="T117" s="34" t="str">
        <f aca="false">IF(A117="","",IFERROR(INDEX(Customers!$B$5:$B$204,MATCH(C117,Customers!$A$5:$A$204,0))&amp;"",""))</f>
        <v/>
      </c>
      <c r="U117" s="38" t="str">
        <f aca="false">IF(A117="","",IF(T117&lt;&gt;"","B2B",IF(AND(O117="Yes",SUMIF($A$5:$A$1004,A117,$L$5:$L$1004)+SUMIF($A$5:$A$1004,A117,$P$5:$P$1004)&gt;100000),"B2CL","B2CS")))</f>
        <v/>
      </c>
      <c r="V117" s="17" t="str">
        <f aca="false">IF(A117="","",TEXT(B117,"mmm-yyyy"))</f>
        <v/>
      </c>
    </row>
    <row r="118" customFormat="false" ht="15" hidden="false" customHeight="true" outlineLevel="0" collapsed="false">
      <c r="A118" s="24"/>
      <c r="B118" s="39"/>
      <c r="C118" s="24"/>
      <c r="D118" s="24"/>
      <c r="E118" s="40"/>
      <c r="F118" s="29"/>
      <c r="G118" s="30"/>
      <c r="H118" s="17" t="str">
        <f aca="false">IF(A118="","",A118&amp;"|"&amp;COUNTIF(A$5:A118,A118))</f>
        <v/>
      </c>
      <c r="I118" s="33" t="str">
        <f aca="false">IF(A118="","",IFERROR(INDEX(Items!$B$5:$B$304,MATCH(D118,Items!$A$5:$A$304,0))&amp;"",""))</f>
        <v/>
      </c>
      <c r="J118" s="34" t="str">
        <f aca="false">IF(A118="","",IFERROR(INDEX(Items!$C$5:$C$304,MATCH(D118,Items!$A$5:$A$304,0))&amp;"",""))</f>
        <v/>
      </c>
      <c r="K118" s="35" t="n">
        <f aca="false">IF(A118="",0,IF(ISNUMBER(F118),F118,IFERROR(INDEX(Items!$D$5:$D$304,MATCH(D118,Items!$A$5:$A$304,0)),0)))</f>
        <v>0</v>
      </c>
      <c r="L118" s="35" t="n">
        <f aca="false">ROUND(N(E118)*K118*(1-N(G118)),2)</f>
        <v>0</v>
      </c>
      <c r="M118" s="36" t="n">
        <f aca="false">IF(A118="",0,IFERROR(INDEX(Items!$E$5:$E$304,MATCH(D118,Items!$A$5:$A$304,0)),0))</f>
        <v>0</v>
      </c>
      <c r="N118" s="37" t="str">
        <f aca="false">IF(A118="","",IFERROR(INDEX(Customers!$E$5:$E$204,MATCH(C118,Customers!$A$5:$A$204,0)),"?"))</f>
        <v/>
      </c>
      <c r="O118" s="38" t="str">
        <f aca="false">IF(A118="","",IF(N118=Settings!$B$17,"No","Yes"))</f>
        <v/>
      </c>
      <c r="P118" s="35" t="n">
        <f aca="false">IF(O118="Yes",ROUND(L118*M118,2),0)</f>
        <v>0</v>
      </c>
      <c r="Q118" s="35" t="n">
        <f aca="false">IF(O118="No",ROUND(L118*M118/2,2),0)</f>
        <v>0</v>
      </c>
      <c r="R118" s="35" t="n">
        <f aca="false">Q118</f>
        <v>0</v>
      </c>
      <c r="S118" s="35" t="n">
        <f aca="false">L118+P118+Q118+R118</f>
        <v>0</v>
      </c>
      <c r="T118" s="34" t="str">
        <f aca="false">IF(A118="","",IFERROR(INDEX(Customers!$B$5:$B$204,MATCH(C118,Customers!$A$5:$A$204,0))&amp;"",""))</f>
        <v/>
      </c>
      <c r="U118" s="38" t="str">
        <f aca="false">IF(A118="","",IF(T118&lt;&gt;"","B2B",IF(AND(O118="Yes",SUMIF($A$5:$A$1004,A118,$L$5:$L$1004)+SUMIF($A$5:$A$1004,A118,$P$5:$P$1004)&gt;100000),"B2CL","B2CS")))</f>
        <v/>
      </c>
      <c r="V118" s="17" t="str">
        <f aca="false">IF(A118="","",TEXT(B118,"mmm-yyyy"))</f>
        <v/>
      </c>
    </row>
    <row r="119" customFormat="false" ht="15" hidden="false" customHeight="true" outlineLevel="0" collapsed="false">
      <c r="A119" s="24"/>
      <c r="B119" s="39"/>
      <c r="C119" s="24"/>
      <c r="D119" s="24"/>
      <c r="E119" s="40"/>
      <c r="F119" s="29"/>
      <c r="G119" s="30"/>
      <c r="H119" s="17" t="str">
        <f aca="false">IF(A119="","",A119&amp;"|"&amp;COUNTIF(A$5:A119,A119))</f>
        <v/>
      </c>
      <c r="I119" s="33" t="str">
        <f aca="false">IF(A119="","",IFERROR(INDEX(Items!$B$5:$B$304,MATCH(D119,Items!$A$5:$A$304,0))&amp;"",""))</f>
        <v/>
      </c>
      <c r="J119" s="34" t="str">
        <f aca="false">IF(A119="","",IFERROR(INDEX(Items!$C$5:$C$304,MATCH(D119,Items!$A$5:$A$304,0))&amp;"",""))</f>
        <v/>
      </c>
      <c r="K119" s="35" t="n">
        <f aca="false">IF(A119="",0,IF(ISNUMBER(F119),F119,IFERROR(INDEX(Items!$D$5:$D$304,MATCH(D119,Items!$A$5:$A$304,0)),0)))</f>
        <v>0</v>
      </c>
      <c r="L119" s="35" t="n">
        <f aca="false">ROUND(N(E119)*K119*(1-N(G119)),2)</f>
        <v>0</v>
      </c>
      <c r="M119" s="36" t="n">
        <f aca="false">IF(A119="",0,IFERROR(INDEX(Items!$E$5:$E$304,MATCH(D119,Items!$A$5:$A$304,0)),0))</f>
        <v>0</v>
      </c>
      <c r="N119" s="37" t="str">
        <f aca="false">IF(A119="","",IFERROR(INDEX(Customers!$E$5:$E$204,MATCH(C119,Customers!$A$5:$A$204,0)),"?"))</f>
        <v/>
      </c>
      <c r="O119" s="38" t="str">
        <f aca="false">IF(A119="","",IF(N119=Settings!$B$17,"No","Yes"))</f>
        <v/>
      </c>
      <c r="P119" s="35" t="n">
        <f aca="false">IF(O119="Yes",ROUND(L119*M119,2),0)</f>
        <v>0</v>
      </c>
      <c r="Q119" s="35" t="n">
        <f aca="false">IF(O119="No",ROUND(L119*M119/2,2),0)</f>
        <v>0</v>
      </c>
      <c r="R119" s="35" t="n">
        <f aca="false">Q119</f>
        <v>0</v>
      </c>
      <c r="S119" s="35" t="n">
        <f aca="false">L119+P119+Q119+R119</f>
        <v>0</v>
      </c>
      <c r="T119" s="34" t="str">
        <f aca="false">IF(A119="","",IFERROR(INDEX(Customers!$B$5:$B$204,MATCH(C119,Customers!$A$5:$A$204,0))&amp;"",""))</f>
        <v/>
      </c>
      <c r="U119" s="38" t="str">
        <f aca="false">IF(A119="","",IF(T119&lt;&gt;"","B2B",IF(AND(O119="Yes",SUMIF($A$5:$A$1004,A119,$L$5:$L$1004)+SUMIF($A$5:$A$1004,A119,$P$5:$P$1004)&gt;100000),"B2CL","B2CS")))</f>
        <v/>
      </c>
      <c r="V119" s="17" t="str">
        <f aca="false">IF(A119="","",TEXT(B119,"mmm-yyyy"))</f>
        <v/>
      </c>
    </row>
    <row r="120" customFormat="false" ht="15" hidden="false" customHeight="true" outlineLevel="0" collapsed="false">
      <c r="A120" s="24"/>
      <c r="B120" s="39"/>
      <c r="C120" s="24"/>
      <c r="D120" s="24"/>
      <c r="E120" s="40"/>
      <c r="F120" s="29"/>
      <c r="G120" s="30"/>
      <c r="H120" s="17" t="str">
        <f aca="false">IF(A120="","",A120&amp;"|"&amp;COUNTIF(A$5:A120,A120))</f>
        <v/>
      </c>
      <c r="I120" s="33" t="str">
        <f aca="false">IF(A120="","",IFERROR(INDEX(Items!$B$5:$B$304,MATCH(D120,Items!$A$5:$A$304,0))&amp;"",""))</f>
        <v/>
      </c>
      <c r="J120" s="34" t="str">
        <f aca="false">IF(A120="","",IFERROR(INDEX(Items!$C$5:$C$304,MATCH(D120,Items!$A$5:$A$304,0))&amp;"",""))</f>
        <v/>
      </c>
      <c r="K120" s="35" t="n">
        <f aca="false">IF(A120="",0,IF(ISNUMBER(F120),F120,IFERROR(INDEX(Items!$D$5:$D$304,MATCH(D120,Items!$A$5:$A$304,0)),0)))</f>
        <v>0</v>
      </c>
      <c r="L120" s="35" t="n">
        <f aca="false">ROUND(N(E120)*K120*(1-N(G120)),2)</f>
        <v>0</v>
      </c>
      <c r="M120" s="36" t="n">
        <f aca="false">IF(A120="",0,IFERROR(INDEX(Items!$E$5:$E$304,MATCH(D120,Items!$A$5:$A$304,0)),0))</f>
        <v>0</v>
      </c>
      <c r="N120" s="37" t="str">
        <f aca="false">IF(A120="","",IFERROR(INDEX(Customers!$E$5:$E$204,MATCH(C120,Customers!$A$5:$A$204,0)),"?"))</f>
        <v/>
      </c>
      <c r="O120" s="38" t="str">
        <f aca="false">IF(A120="","",IF(N120=Settings!$B$17,"No","Yes"))</f>
        <v/>
      </c>
      <c r="P120" s="35" t="n">
        <f aca="false">IF(O120="Yes",ROUND(L120*M120,2),0)</f>
        <v>0</v>
      </c>
      <c r="Q120" s="35" t="n">
        <f aca="false">IF(O120="No",ROUND(L120*M120/2,2),0)</f>
        <v>0</v>
      </c>
      <c r="R120" s="35" t="n">
        <f aca="false">Q120</f>
        <v>0</v>
      </c>
      <c r="S120" s="35" t="n">
        <f aca="false">L120+P120+Q120+R120</f>
        <v>0</v>
      </c>
      <c r="T120" s="34" t="str">
        <f aca="false">IF(A120="","",IFERROR(INDEX(Customers!$B$5:$B$204,MATCH(C120,Customers!$A$5:$A$204,0))&amp;"",""))</f>
        <v/>
      </c>
      <c r="U120" s="38" t="str">
        <f aca="false">IF(A120="","",IF(T120&lt;&gt;"","B2B",IF(AND(O120="Yes",SUMIF($A$5:$A$1004,A120,$L$5:$L$1004)+SUMIF($A$5:$A$1004,A120,$P$5:$P$1004)&gt;100000),"B2CL","B2CS")))</f>
        <v/>
      </c>
      <c r="V120" s="17" t="str">
        <f aca="false">IF(A120="","",TEXT(B120,"mmm-yyyy"))</f>
        <v/>
      </c>
    </row>
    <row r="121" customFormat="false" ht="15" hidden="false" customHeight="true" outlineLevel="0" collapsed="false">
      <c r="A121" s="24"/>
      <c r="B121" s="39"/>
      <c r="C121" s="24"/>
      <c r="D121" s="24"/>
      <c r="E121" s="40"/>
      <c r="F121" s="29"/>
      <c r="G121" s="30"/>
      <c r="H121" s="17" t="str">
        <f aca="false">IF(A121="","",A121&amp;"|"&amp;COUNTIF(A$5:A121,A121))</f>
        <v/>
      </c>
      <c r="I121" s="33" t="str">
        <f aca="false">IF(A121="","",IFERROR(INDEX(Items!$B$5:$B$304,MATCH(D121,Items!$A$5:$A$304,0))&amp;"",""))</f>
        <v/>
      </c>
      <c r="J121" s="34" t="str">
        <f aca="false">IF(A121="","",IFERROR(INDEX(Items!$C$5:$C$304,MATCH(D121,Items!$A$5:$A$304,0))&amp;"",""))</f>
        <v/>
      </c>
      <c r="K121" s="35" t="n">
        <f aca="false">IF(A121="",0,IF(ISNUMBER(F121),F121,IFERROR(INDEX(Items!$D$5:$D$304,MATCH(D121,Items!$A$5:$A$304,0)),0)))</f>
        <v>0</v>
      </c>
      <c r="L121" s="35" t="n">
        <f aca="false">ROUND(N(E121)*K121*(1-N(G121)),2)</f>
        <v>0</v>
      </c>
      <c r="M121" s="36" t="n">
        <f aca="false">IF(A121="",0,IFERROR(INDEX(Items!$E$5:$E$304,MATCH(D121,Items!$A$5:$A$304,0)),0))</f>
        <v>0</v>
      </c>
      <c r="N121" s="37" t="str">
        <f aca="false">IF(A121="","",IFERROR(INDEX(Customers!$E$5:$E$204,MATCH(C121,Customers!$A$5:$A$204,0)),"?"))</f>
        <v/>
      </c>
      <c r="O121" s="38" t="str">
        <f aca="false">IF(A121="","",IF(N121=Settings!$B$17,"No","Yes"))</f>
        <v/>
      </c>
      <c r="P121" s="35" t="n">
        <f aca="false">IF(O121="Yes",ROUND(L121*M121,2),0)</f>
        <v>0</v>
      </c>
      <c r="Q121" s="35" t="n">
        <f aca="false">IF(O121="No",ROUND(L121*M121/2,2),0)</f>
        <v>0</v>
      </c>
      <c r="R121" s="35" t="n">
        <f aca="false">Q121</f>
        <v>0</v>
      </c>
      <c r="S121" s="35" t="n">
        <f aca="false">L121+P121+Q121+R121</f>
        <v>0</v>
      </c>
      <c r="T121" s="34" t="str">
        <f aca="false">IF(A121="","",IFERROR(INDEX(Customers!$B$5:$B$204,MATCH(C121,Customers!$A$5:$A$204,0))&amp;"",""))</f>
        <v/>
      </c>
      <c r="U121" s="38" t="str">
        <f aca="false">IF(A121="","",IF(T121&lt;&gt;"","B2B",IF(AND(O121="Yes",SUMIF($A$5:$A$1004,A121,$L$5:$L$1004)+SUMIF($A$5:$A$1004,A121,$P$5:$P$1004)&gt;100000),"B2CL","B2CS")))</f>
        <v/>
      </c>
      <c r="V121" s="17" t="str">
        <f aca="false">IF(A121="","",TEXT(B121,"mmm-yyyy"))</f>
        <v/>
      </c>
    </row>
    <row r="122" customFormat="false" ht="15" hidden="false" customHeight="true" outlineLevel="0" collapsed="false">
      <c r="A122" s="24"/>
      <c r="B122" s="39"/>
      <c r="C122" s="24"/>
      <c r="D122" s="24"/>
      <c r="E122" s="40"/>
      <c r="F122" s="29"/>
      <c r="G122" s="30"/>
      <c r="H122" s="17" t="str">
        <f aca="false">IF(A122="","",A122&amp;"|"&amp;COUNTIF(A$5:A122,A122))</f>
        <v/>
      </c>
      <c r="I122" s="33" t="str">
        <f aca="false">IF(A122="","",IFERROR(INDEX(Items!$B$5:$B$304,MATCH(D122,Items!$A$5:$A$304,0))&amp;"",""))</f>
        <v/>
      </c>
      <c r="J122" s="34" t="str">
        <f aca="false">IF(A122="","",IFERROR(INDEX(Items!$C$5:$C$304,MATCH(D122,Items!$A$5:$A$304,0))&amp;"",""))</f>
        <v/>
      </c>
      <c r="K122" s="35" t="n">
        <f aca="false">IF(A122="",0,IF(ISNUMBER(F122),F122,IFERROR(INDEX(Items!$D$5:$D$304,MATCH(D122,Items!$A$5:$A$304,0)),0)))</f>
        <v>0</v>
      </c>
      <c r="L122" s="35" t="n">
        <f aca="false">ROUND(N(E122)*K122*(1-N(G122)),2)</f>
        <v>0</v>
      </c>
      <c r="M122" s="36" t="n">
        <f aca="false">IF(A122="",0,IFERROR(INDEX(Items!$E$5:$E$304,MATCH(D122,Items!$A$5:$A$304,0)),0))</f>
        <v>0</v>
      </c>
      <c r="N122" s="37" t="str">
        <f aca="false">IF(A122="","",IFERROR(INDEX(Customers!$E$5:$E$204,MATCH(C122,Customers!$A$5:$A$204,0)),"?"))</f>
        <v/>
      </c>
      <c r="O122" s="38" t="str">
        <f aca="false">IF(A122="","",IF(N122=Settings!$B$17,"No","Yes"))</f>
        <v/>
      </c>
      <c r="P122" s="35" t="n">
        <f aca="false">IF(O122="Yes",ROUND(L122*M122,2),0)</f>
        <v>0</v>
      </c>
      <c r="Q122" s="35" t="n">
        <f aca="false">IF(O122="No",ROUND(L122*M122/2,2),0)</f>
        <v>0</v>
      </c>
      <c r="R122" s="35" t="n">
        <f aca="false">Q122</f>
        <v>0</v>
      </c>
      <c r="S122" s="35" t="n">
        <f aca="false">L122+P122+Q122+R122</f>
        <v>0</v>
      </c>
      <c r="T122" s="34" t="str">
        <f aca="false">IF(A122="","",IFERROR(INDEX(Customers!$B$5:$B$204,MATCH(C122,Customers!$A$5:$A$204,0))&amp;"",""))</f>
        <v/>
      </c>
      <c r="U122" s="38" t="str">
        <f aca="false">IF(A122="","",IF(T122&lt;&gt;"","B2B",IF(AND(O122="Yes",SUMIF($A$5:$A$1004,A122,$L$5:$L$1004)+SUMIF($A$5:$A$1004,A122,$P$5:$P$1004)&gt;100000),"B2CL","B2CS")))</f>
        <v/>
      </c>
      <c r="V122" s="17" t="str">
        <f aca="false">IF(A122="","",TEXT(B122,"mmm-yyyy"))</f>
        <v/>
      </c>
    </row>
    <row r="123" customFormat="false" ht="15" hidden="false" customHeight="true" outlineLevel="0" collapsed="false">
      <c r="A123" s="24"/>
      <c r="B123" s="39"/>
      <c r="C123" s="24"/>
      <c r="D123" s="24"/>
      <c r="E123" s="40"/>
      <c r="F123" s="29"/>
      <c r="G123" s="30"/>
      <c r="H123" s="17" t="str">
        <f aca="false">IF(A123="","",A123&amp;"|"&amp;COUNTIF(A$5:A123,A123))</f>
        <v/>
      </c>
      <c r="I123" s="33" t="str">
        <f aca="false">IF(A123="","",IFERROR(INDEX(Items!$B$5:$B$304,MATCH(D123,Items!$A$5:$A$304,0))&amp;"",""))</f>
        <v/>
      </c>
      <c r="J123" s="34" t="str">
        <f aca="false">IF(A123="","",IFERROR(INDEX(Items!$C$5:$C$304,MATCH(D123,Items!$A$5:$A$304,0))&amp;"",""))</f>
        <v/>
      </c>
      <c r="K123" s="35" t="n">
        <f aca="false">IF(A123="",0,IF(ISNUMBER(F123),F123,IFERROR(INDEX(Items!$D$5:$D$304,MATCH(D123,Items!$A$5:$A$304,0)),0)))</f>
        <v>0</v>
      </c>
      <c r="L123" s="35" t="n">
        <f aca="false">ROUND(N(E123)*K123*(1-N(G123)),2)</f>
        <v>0</v>
      </c>
      <c r="M123" s="36" t="n">
        <f aca="false">IF(A123="",0,IFERROR(INDEX(Items!$E$5:$E$304,MATCH(D123,Items!$A$5:$A$304,0)),0))</f>
        <v>0</v>
      </c>
      <c r="N123" s="37" t="str">
        <f aca="false">IF(A123="","",IFERROR(INDEX(Customers!$E$5:$E$204,MATCH(C123,Customers!$A$5:$A$204,0)),"?"))</f>
        <v/>
      </c>
      <c r="O123" s="38" t="str">
        <f aca="false">IF(A123="","",IF(N123=Settings!$B$17,"No","Yes"))</f>
        <v/>
      </c>
      <c r="P123" s="35" t="n">
        <f aca="false">IF(O123="Yes",ROUND(L123*M123,2),0)</f>
        <v>0</v>
      </c>
      <c r="Q123" s="35" t="n">
        <f aca="false">IF(O123="No",ROUND(L123*M123/2,2),0)</f>
        <v>0</v>
      </c>
      <c r="R123" s="35" t="n">
        <f aca="false">Q123</f>
        <v>0</v>
      </c>
      <c r="S123" s="35" t="n">
        <f aca="false">L123+P123+Q123+R123</f>
        <v>0</v>
      </c>
      <c r="T123" s="34" t="str">
        <f aca="false">IF(A123="","",IFERROR(INDEX(Customers!$B$5:$B$204,MATCH(C123,Customers!$A$5:$A$204,0))&amp;"",""))</f>
        <v/>
      </c>
      <c r="U123" s="38" t="str">
        <f aca="false">IF(A123="","",IF(T123&lt;&gt;"","B2B",IF(AND(O123="Yes",SUMIF($A$5:$A$1004,A123,$L$5:$L$1004)+SUMIF($A$5:$A$1004,A123,$P$5:$P$1004)&gt;100000),"B2CL","B2CS")))</f>
        <v/>
      </c>
      <c r="V123" s="17" t="str">
        <f aca="false">IF(A123="","",TEXT(B123,"mmm-yyyy"))</f>
        <v/>
      </c>
    </row>
    <row r="124" customFormat="false" ht="15" hidden="false" customHeight="true" outlineLevel="0" collapsed="false">
      <c r="A124" s="24"/>
      <c r="B124" s="39"/>
      <c r="C124" s="24"/>
      <c r="D124" s="24"/>
      <c r="E124" s="40"/>
      <c r="F124" s="29"/>
      <c r="G124" s="30"/>
      <c r="H124" s="17" t="str">
        <f aca="false">IF(A124="","",A124&amp;"|"&amp;COUNTIF(A$5:A124,A124))</f>
        <v/>
      </c>
      <c r="I124" s="33" t="str">
        <f aca="false">IF(A124="","",IFERROR(INDEX(Items!$B$5:$B$304,MATCH(D124,Items!$A$5:$A$304,0))&amp;"",""))</f>
        <v/>
      </c>
      <c r="J124" s="34" t="str">
        <f aca="false">IF(A124="","",IFERROR(INDEX(Items!$C$5:$C$304,MATCH(D124,Items!$A$5:$A$304,0))&amp;"",""))</f>
        <v/>
      </c>
      <c r="K124" s="35" t="n">
        <f aca="false">IF(A124="",0,IF(ISNUMBER(F124),F124,IFERROR(INDEX(Items!$D$5:$D$304,MATCH(D124,Items!$A$5:$A$304,0)),0)))</f>
        <v>0</v>
      </c>
      <c r="L124" s="35" t="n">
        <f aca="false">ROUND(N(E124)*K124*(1-N(G124)),2)</f>
        <v>0</v>
      </c>
      <c r="M124" s="36" t="n">
        <f aca="false">IF(A124="",0,IFERROR(INDEX(Items!$E$5:$E$304,MATCH(D124,Items!$A$5:$A$304,0)),0))</f>
        <v>0</v>
      </c>
      <c r="N124" s="37" t="str">
        <f aca="false">IF(A124="","",IFERROR(INDEX(Customers!$E$5:$E$204,MATCH(C124,Customers!$A$5:$A$204,0)),"?"))</f>
        <v/>
      </c>
      <c r="O124" s="38" t="str">
        <f aca="false">IF(A124="","",IF(N124=Settings!$B$17,"No","Yes"))</f>
        <v/>
      </c>
      <c r="P124" s="35" t="n">
        <f aca="false">IF(O124="Yes",ROUND(L124*M124,2),0)</f>
        <v>0</v>
      </c>
      <c r="Q124" s="35" t="n">
        <f aca="false">IF(O124="No",ROUND(L124*M124/2,2),0)</f>
        <v>0</v>
      </c>
      <c r="R124" s="35" t="n">
        <f aca="false">Q124</f>
        <v>0</v>
      </c>
      <c r="S124" s="35" t="n">
        <f aca="false">L124+P124+Q124+R124</f>
        <v>0</v>
      </c>
      <c r="T124" s="34" t="str">
        <f aca="false">IF(A124="","",IFERROR(INDEX(Customers!$B$5:$B$204,MATCH(C124,Customers!$A$5:$A$204,0))&amp;"",""))</f>
        <v/>
      </c>
      <c r="U124" s="38" t="str">
        <f aca="false">IF(A124="","",IF(T124&lt;&gt;"","B2B",IF(AND(O124="Yes",SUMIF($A$5:$A$1004,A124,$L$5:$L$1004)+SUMIF($A$5:$A$1004,A124,$P$5:$P$1004)&gt;100000),"B2CL","B2CS")))</f>
        <v/>
      </c>
      <c r="V124" s="17" t="str">
        <f aca="false">IF(A124="","",TEXT(B124,"mmm-yyyy"))</f>
        <v/>
      </c>
    </row>
    <row r="125" customFormat="false" ht="15" hidden="false" customHeight="true" outlineLevel="0" collapsed="false">
      <c r="A125" s="24"/>
      <c r="B125" s="39"/>
      <c r="C125" s="24"/>
      <c r="D125" s="24"/>
      <c r="E125" s="40"/>
      <c r="F125" s="29"/>
      <c r="G125" s="30"/>
      <c r="H125" s="17" t="str">
        <f aca="false">IF(A125="","",A125&amp;"|"&amp;COUNTIF(A$5:A125,A125))</f>
        <v/>
      </c>
      <c r="I125" s="33" t="str">
        <f aca="false">IF(A125="","",IFERROR(INDEX(Items!$B$5:$B$304,MATCH(D125,Items!$A$5:$A$304,0))&amp;"",""))</f>
        <v/>
      </c>
      <c r="J125" s="34" t="str">
        <f aca="false">IF(A125="","",IFERROR(INDEX(Items!$C$5:$C$304,MATCH(D125,Items!$A$5:$A$304,0))&amp;"",""))</f>
        <v/>
      </c>
      <c r="K125" s="35" t="n">
        <f aca="false">IF(A125="",0,IF(ISNUMBER(F125),F125,IFERROR(INDEX(Items!$D$5:$D$304,MATCH(D125,Items!$A$5:$A$304,0)),0)))</f>
        <v>0</v>
      </c>
      <c r="L125" s="35" t="n">
        <f aca="false">ROUND(N(E125)*K125*(1-N(G125)),2)</f>
        <v>0</v>
      </c>
      <c r="M125" s="36" t="n">
        <f aca="false">IF(A125="",0,IFERROR(INDEX(Items!$E$5:$E$304,MATCH(D125,Items!$A$5:$A$304,0)),0))</f>
        <v>0</v>
      </c>
      <c r="N125" s="37" t="str">
        <f aca="false">IF(A125="","",IFERROR(INDEX(Customers!$E$5:$E$204,MATCH(C125,Customers!$A$5:$A$204,0)),"?"))</f>
        <v/>
      </c>
      <c r="O125" s="38" t="str">
        <f aca="false">IF(A125="","",IF(N125=Settings!$B$17,"No","Yes"))</f>
        <v/>
      </c>
      <c r="P125" s="35" t="n">
        <f aca="false">IF(O125="Yes",ROUND(L125*M125,2),0)</f>
        <v>0</v>
      </c>
      <c r="Q125" s="35" t="n">
        <f aca="false">IF(O125="No",ROUND(L125*M125/2,2),0)</f>
        <v>0</v>
      </c>
      <c r="R125" s="35" t="n">
        <f aca="false">Q125</f>
        <v>0</v>
      </c>
      <c r="S125" s="35" t="n">
        <f aca="false">L125+P125+Q125+R125</f>
        <v>0</v>
      </c>
      <c r="T125" s="34" t="str">
        <f aca="false">IF(A125="","",IFERROR(INDEX(Customers!$B$5:$B$204,MATCH(C125,Customers!$A$5:$A$204,0))&amp;"",""))</f>
        <v/>
      </c>
      <c r="U125" s="38" t="str">
        <f aca="false">IF(A125="","",IF(T125&lt;&gt;"","B2B",IF(AND(O125="Yes",SUMIF($A$5:$A$1004,A125,$L$5:$L$1004)+SUMIF($A$5:$A$1004,A125,$P$5:$P$1004)&gt;100000),"B2CL","B2CS")))</f>
        <v/>
      </c>
      <c r="V125" s="17" t="str">
        <f aca="false">IF(A125="","",TEXT(B125,"mmm-yyyy"))</f>
        <v/>
      </c>
    </row>
    <row r="126" customFormat="false" ht="15" hidden="false" customHeight="true" outlineLevel="0" collapsed="false">
      <c r="A126" s="24"/>
      <c r="B126" s="39"/>
      <c r="C126" s="24"/>
      <c r="D126" s="24"/>
      <c r="E126" s="40"/>
      <c r="F126" s="29"/>
      <c r="G126" s="30"/>
      <c r="H126" s="17" t="str">
        <f aca="false">IF(A126="","",A126&amp;"|"&amp;COUNTIF(A$5:A126,A126))</f>
        <v/>
      </c>
      <c r="I126" s="33" t="str">
        <f aca="false">IF(A126="","",IFERROR(INDEX(Items!$B$5:$B$304,MATCH(D126,Items!$A$5:$A$304,0))&amp;"",""))</f>
        <v/>
      </c>
      <c r="J126" s="34" t="str">
        <f aca="false">IF(A126="","",IFERROR(INDEX(Items!$C$5:$C$304,MATCH(D126,Items!$A$5:$A$304,0))&amp;"",""))</f>
        <v/>
      </c>
      <c r="K126" s="35" t="n">
        <f aca="false">IF(A126="",0,IF(ISNUMBER(F126),F126,IFERROR(INDEX(Items!$D$5:$D$304,MATCH(D126,Items!$A$5:$A$304,0)),0)))</f>
        <v>0</v>
      </c>
      <c r="L126" s="35" t="n">
        <f aca="false">ROUND(N(E126)*K126*(1-N(G126)),2)</f>
        <v>0</v>
      </c>
      <c r="M126" s="36" t="n">
        <f aca="false">IF(A126="",0,IFERROR(INDEX(Items!$E$5:$E$304,MATCH(D126,Items!$A$5:$A$304,0)),0))</f>
        <v>0</v>
      </c>
      <c r="N126" s="37" t="str">
        <f aca="false">IF(A126="","",IFERROR(INDEX(Customers!$E$5:$E$204,MATCH(C126,Customers!$A$5:$A$204,0)),"?"))</f>
        <v/>
      </c>
      <c r="O126" s="38" t="str">
        <f aca="false">IF(A126="","",IF(N126=Settings!$B$17,"No","Yes"))</f>
        <v/>
      </c>
      <c r="P126" s="35" t="n">
        <f aca="false">IF(O126="Yes",ROUND(L126*M126,2),0)</f>
        <v>0</v>
      </c>
      <c r="Q126" s="35" t="n">
        <f aca="false">IF(O126="No",ROUND(L126*M126/2,2),0)</f>
        <v>0</v>
      </c>
      <c r="R126" s="35" t="n">
        <f aca="false">Q126</f>
        <v>0</v>
      </c>
      <c r="S126" s="35" t="n">
        <f aca="false">L126+P126+Q126+R126</f>
        <v>0</v>
      </c>
      <c r="T126" s="34" t="str">
        <f aca="false">IF(A126="","",IFERROR(INDEX(Customers!$B$5:$B$204,MATCH(C126,Customers!$A$5:$A$204,0))&amp;"",""))</f>
        <v/>
      </c>
      <c r="U126" s="38" t="str">
        <f aca="false">IF(A126="","",IF(T126&lt;&gt;"","B2B",IF(AND(O126="Yes",SUMIF($A$5:$A$1004,A126,$L$5:$L$1004)+SUMIF($A$5:$A$1004,A126,$P$5:$P$1004)&gt;100000),"B2CL","B2CS")))</f>
        <v/>
      </c>
      <c r="V126" s="17" t="str">
        <f aca="false">IF(A126="","",TEXT(B126,"mmm-yyyy"))</f>
        <v/>
      </c>
    </row>
    <row r="127" customFormat="false" ht="15" hidden="false" customHeight="true" outlineLevel="0" collapsed="false">
      <c r="A127" s="24"/>
      <c r="B127" s="39"/>
      <c r="C127" s="24"/>
      <c r="D127" s="24"/>
      <c r="E127" s="40"/>
      <c r="F127" s="29"/>
      <c r="G127" s="30"/>
      <c r="H127" s="17" t="str">
        <f aca="false">IF(A127="","",A127&amp;"|"&amp;COUNTIF(A$5:A127,A127))</f>
        <v/>
      </c>
      <c r="I127" s="33" t="str">
        <f aca="false">IF(A127="","",IFERROR(INDEX(Items!$B$5:$B$304,MATCH(D127,Items!$A$5:$A$304,0))&amp;"",""))</f>
        <v/>
      </c>
      <c r="J127" s="34" t="str">
        <f aca="false">IF(A127="","",IFERROR(INDEX(Items!$C$5:$C$304,MATCH(D127,Items!$A$5:$A$304,0))&amp;"",""))</f>
        <v/>
      </c>
      <c r="K127" s="35" t="n">
        <f aca="false">IF(A127="",0,IF(ISNUMBER(F127),F127,IFERROR(INDEX(Items!$D$5:$D$304,MATCH(D127,Items!$A$5:$A$304,0)),0)))</f>
        <v>0</v>
      </c>
      <c r="L127" s="35" t="n">
        <f aca="false">ROUND(N(E127)*K127*(1-N(G127)),2)</f>
        <v>0</v>
      </c>
      <c r="M127" s="36" t="n">
        <f aca="false">IF(A127="",0,IFERROR(INDEX(Items!$E$5:$E$304,MATCH(D127,Items!$A$5:$A$304,0)),0))</f>
        <v>0</v>
      </c>
      <c r="N127" s="37" t="str">
        <f aca="false">IF(A127="","",IFERROR(INDEX(Customers!$E$5:$E$204,MATCH(C127,Customers!$A$5:$A$204,0)),"?"))</f>
        <v/>
      </c>
      <c r="O127" s="38" t="str">
        <f aca="false">IF(A127="","",IF(N127=Settings!$B$17,"No","Yes"))</f>
        <v/>
      </c>
      <c r="P127" s="35" t="n">
        <f aca="false">IF(O127="Yes",ROUND(L127*M127,2),0)</f>
        <v>0</v>
      </c>
      <c r="Q127" s="35" t="n">
        <f aca="false">IF(O127="No",ROUND(L127*M127/2,2),0)</f>
        <v>0</v>
      </c>
      <c r="R127" s="35" t="n">
        <f aca="false">Q127</f>
        <v>0</v>
      </c>
      <c r="S127" s="35" t="n">
        <f aca="false">L127+P127+Q127+R127</f>
        <v>0</v>
      </c>
      <c r="T127" s="34" t="str">
        <f aca="false">IF(A127="","",IFERROR(INDEX(Customers!$B$5:$B$204,MATCH(C127,Customers!$A$5:$A$204,0))&amp;"",""))</f>
        <v/>
      </c>
      <c r="U127" s="38" t="str">
        <f aca="false">IF(A127="","",IF(T127&lt;&gt;"","B2B",IF(AND(O127="Yes",SUMIF($A$5:$A$1004,A127,$L$5:$L$1004)+SUMIF($A$5:$A$1004,A127,$P$5:$P$1004)&gt;100000),"B2CL","B2CS")))</f>
        <v/>
      </c>
      <c r="V127" s="17" t="str">
        <f aca="false">IF(A127="","",TEXT(B127,"mmm-yyyy"))</f>
        <v/>
      </c>
    </row>
    <row r="128" customFormat="false" ht="15" hidden="false" customHeight="true" outlineLevel="0" collapsed="false">
      <c r="A128" s="24"/>
      <c r="B128" s="39"/>
      <c r="C128" s="24"/>
      <c r="D128" s="24"/>
      <c r="E128" s="40"/>
      <c r="F128" s="29"/>
      <c r="G128" s="30"/>
      <c r="H128" s="17" t="str">
        <f aca="false">IF(A128="","",A128&amp;"|"&amp;COUNTIF(A$5:A128,A128))</f>
        <v/>
      </c>
      <c r="I128" s="33" t="str">
        <f aca="false">IF(A128="","",IFERROR(INDEX(Items!$B$5:$B$304,MATCH(D128,Items!$A$5:$A$304,0))&amp;"",""))</f>
        <v/>
      </c>
      <c r="J128" s="34" t="str">
        <f aca="false">IF(A128="","",IFERROR(INDEX(Items!$C$5:$C$304,MATCH(D128,Items!$A$5:$A$304,0))&amp;"",""))</f>
        <v/>
      </c>
      <c r="K128" s="35" t="n">
        <f aca="false">IF(A128="",0,IF(ISNUMBER(F128),F128,IFERROR(INDEX(Items!$D$5:$D$304,MATCH(D128,Items!$A$5:$A$304,0)),0)))</f>
        <v>0</v>
      </c>
      <c r="L128" s="35" t="n">
        <f aca="false">ROUND(N(E128)*K128*(1-N(G128)),2)</f>
        <v>0</v>
      </c>
      <c r="M128" s="36" t="n">
        <f aca="false">IF(A128="",0,IFERROR(INDEX(Items!$E$5:$E$304,MATCH(D128,Items!$A$5:$A$304,0)),0))</f>
        <v>0</v>
      </c>
      <c r="N128" s="37" t="str">
        <f aca="false">IF(A128="","",IFERROR(INDEX(Customers!$E$5:$E$204,MATCH(C128,Customers!$A$5:$A$204,0)),"?"))</f>
        <v/>
      </c>
      <c r="O128" s="38" t="str">
        <f aca="false">IF(A128="","",IF(N128=Settings!$B$17,"No","Yes"))</f>
        <v/>
      </c>
      <c r="P128" s="35" t="n">
        <f aca="false">IF(O128="Yes",ROUND(L128*M128,2),0)</f>
        <v>0</v>
      </c>
      <c r="Q128" s="35" t="n">
        <f aca="false">IF(O128="No",ROUND(L128*M128/2,2),0)</f>
        <v>0</v>
      </c>
      <c r="R128" s="35" t="n">
        <f aca="false">Q128</f>
        <v>0</v>
      </c>
      <c r="S128" s="35" t="n">
        <f aca="false">L128+P128+Q128+R128</f>
        <v>0</v>
      </c>
      <c r="T128" s="34" t="str">
        <f aca="false">IF(A128="","",IFERROR(INDEX(Customers!$B$5:$B$204,MATCH(C128,Customers!$A$5:$A$204,0))&amp;"",""))</f>
        <v/>
      </c>
      <c r="U128" s="38" t="str">
        <f aca="false">IF(A128="","",IF(T128&lt;&gt;"","B2B",IF(AND(O128="Yes",SUMIF($A$5:$A$1004,A128,$L$5:$L$1004)+SUMIF($A$5:$A$1004,A128,$P$5:$P$1004)&gt;100000),"B2CL","B2CS")))</f>
        <v/>
      </c>
      <c r="V128" s="17" t="str">
        <f aca="false">IF(A128="","",TEXT(B128,"mmm-yyyy"))</f>
        <v/>
      </c>
    </row>
    <row r="129" customFormat="false" ht="15" hidden="false" customHeight="true" outlineLevel="0" collapsed="false">
      <c r="A129" s="24"/>
      <c r="B129" s="39"/>
      <c r="C129" s="24"/>
      <c r="D129" s="24"/>
      <c r="E129" s="40"/>
      <c r="F129" s="29"/>
      <c r="G129" s="30"/>
      <c r="H129" s="17" t="str">
        <f aca="false">IF(A129="","",A129&amp;"|"&amp;COUNTIF(A$5:A129,A129))</f>
        <v/>
      </c>
      <c r="I129" s="33" t="str">
        <f aca="false">IF(A129="","",IFERROR(INDEX(Items!$B$5:$B$304,MATCH(D129,Items!$A$5:$A$304,0))&amp;"",""))</f>
        <v/>
      </c>
      <c r="J129" s="34" t="str">
        <f aca="false">IF(A129="","",IFERROR(INDEX(Items!$C$5:$C$304,MATCH(D129,Items!$A$5:$A$304,0))&amp;"",""))</f>
        <v/>
      </c>
      <c r="K129" s="35" t="n">
        <f aca="false">IF(A129="",0,IF(ISNUMBER(F129),F129,IFERROR(INDEX(Items!$D$5:$D$304,MATCH(D129,Items!$A$5:$A$304,0)),0)))</f>
        <v>0</v>
      </c>
      <c r="L129" s="35" t="n">
        <f aca="false">ROUND(N(E129)*K129*(1-N(G129)),2)</f>
        <v>0</v>
      </c>
      <c r="M129" s="36" t="n">
        <f aca="false">IF(A129="",0,IFERROR(INDEX(Items!$E$5:$E$304,MATCH(D129,Items!$A$5:$A$304,0)),0))</f>
        <v>0</v>
      </c>
      <c r="N129" s="37" t="str">
        <f aca="false">IF(A129="","",IFERROR(INDEX(Customers!$E$5:$E$204,MATCH(C129,Customers!$A$5:$A$204,0)),"?"))</f>
        <v/>
      </c>
      <c r="O129" s="38" t="str">
        <f aca="false">IF(A129="","",IF(N129=Settings!$B$17,"No","Yes"))</f>
        <v/>
      </c>
      <c r="P129" s="35" t="n">
        <f aca="false">IF(O129="Yes",ROUND(L129*M129,2),0)</f>
        <v>0</v>
      </c>
      <c r="Q129" s="35" t="n">
        <f aca="false">IF(O129="No",ROUND(L129*M129/2,2),0)</f>
        <v>0</v>
      </c>
      <c r="R129" s="35" t="n">
        <f aca="false">Q129</f>
        <v>0</v>
      </c>
      <c r="S129" s="35" t="n">
        <f aca="false">L129+P129+Q129+R129</f>
        <v>0</v>
      </c>
      <c r="T129" s="34" t="str">
        <f aca="false">IF(A129="","",IFERROR(INDEX(Customers!$B$5:$B$204,MATCH(C129,Customers!$A$5:$A$204,0))&amp;"",""))</f>
        <v/>
      </c>
      <c r="U129" s="38" t="str">
        <f aca="false">IF(A129="","",IF(T129&lt;&gt;"","B2B",IF(AND(O129="Yes",SUMIF($A$5:$A$1004,A129,$L$5:$L$1004)+SUMIF($A$5:$A$1004,A129,$P$5:$P$1004)&gt;100000),"B2CL","B2CS")))</f>
        <v/>
      </c>
      <c r="V129" s="17" t="str">
        <f aca="false">IF(A129="","",TEXT(B129,"mmm-yyyy"))</f>
        <v/>
      </c>
    </row>
    <row r="130" customFormat="false" ht="15" hidden="false" customHeight="true" outlineLevel="0" collapsed="false">
      <c r="A130" s="24"/>
      <c r="B130" s="39"/>
      <c r="C130" s="24"/>
      <c r="D130" s="24"/>
      <c r="E130" s="40"/>
      <c r="F130" s="29"/>
      <c r="G130" s="30"/>
      <c r="H130" s="17" t="str">
        <f aca="false">IF(A130="","",A130&amp;"|"&amp;COUNTIF(A$5:A130,A130))</f>
        <v/>
      </c>
      <c r="I130" s="33" t="str">
        <f aca="false">IF(A130="","",IFERROR(INDEX(Items!$B$5:$B$304,MATCH(D130,Items!$A$5:$A$304,0))&amp;"",""))</f>
        <v/>
      </c>
      <c r="J130" s="34" t="str">
        <f aca="false">IF(A130="","",IFERROR(INDEX(Items!$C$5:$C$304,MATCH(D130,Items!$A$5:$A$304,0))&amp;"",""))</f>
        <v/>
      </c>
      <c r="K130" s="35" t="n">
        <f aca="false">IF(A130="",0,IF(ISNUMBER(F130),F130,IFERROR(INDEX(Items!$D$5:$D$304,MATCH(D130,Items!$A$5:$A$304,0)),0)))</f>
        <v>0</v>
      </c>
      <c r="L130" s="35" t="n">
        <f aca="false">ROUND(N(E130)*K130*(1-N(G130)),2)</f>
        <v>0</v>
      </c>
      <c r="M130" s="36" t="n">
        <f aca="false">IF(A130="",0,IFERROR(INDEX(Items!$E$5:$E$304,MATCH(D130,Items!$A$5:$A$304,0)),0))</f>
        <v>0</v>
      </c>
      <c r="N130" s="37" t="str">
        <f aca="false">IF(A130="","",IFERROR(INDEX(Customers!$E$5:$E$204,MATCH(C130,Customers!$A$5:$A$204,0)),"?"))</f>
        <v/>
      </c>
      <c r="O130" s="38" t="str">
        <f aca="false">IF(A130="","",IF(N130=Settings!$B$17,"No","Yes"))</f>
        <v/>
      </c>
      <c r="P130" s="35" t="n">
        <f aca="false">IF(O130="Yes",ROUND(L130*M130,2),0)</f>
        <v>0</v>
      </c>
      <c r="Q130" s="35" t="n">
        <f aca="false">IF(O130="No",ROUND(L130*M130/2,2),0)</f>
        <v>0</v>
      </c>
      <c r="R130" s="35" t="n">
        <f aca="false">Q130</f>
        <v>0</v>
      </c>
      <c r="S130" s="35" t="n">
        <f aca="false">L130+P130+Q130+R130</f>
        <v>0</v>
      </c>
      <c r="T130" s="34" t="str">
        <f aca="false">IF(A130="","",IFERROR(INDEX(Customers!$B$5:$B$204,MATCH(C130,Customers!$A$5:$A$204,0))&amp;"",""))</f>
        <v/>
      </c>
      <c r="U130" s="38" t="str">
        <f aca="false">IF(A130="","",IF(T130&lt;&gt;"","B2B",IF(AND(O130="Yes",SUMIF($A$5:$A$1004,A130,$L$5:$L$1004)+SUMIF($A$5:$A$1004,A130,$P$5:$P$1004)&gt;100000),"B2CL","B2CS")))</f>
        <v/>
      </c>
      <c r="V130" s="17" t="str">
        <f aca="false">IF(A130="","",TEXT(B130,"mmm-yyyy"))</f>
        <v/>
      </c>
    </row>
    <row r="131" customFormat="false" ht="15" hidden="false" customHeight="true" outlineLevel="0" collapsed="false">
      <c r="A131" s="24"/>
      <c r="B131" s="39"/>
      <c r="C131" s="24"/>
      <c r="D131" s="24"/>
      <c r="E131" s="40"/>
      <c r="F131" s="29"/>
      <c r="G131" s="30"/>
      <c r="H131" s="17" t="str">
        <f aca="false">IF(A131="","",A131&amp;"|"&amp;COUNTIF(A$5:A131,A131))</f>
        <v/>
      </c>
      <c r="I131" s="33" t="str">
        <f aca="false">IF(A131="","",IFERROR(INDEX(Items!$B$5:$B$304,MATCH(D131,Items!$A$5:$A$304,0))&amp;"",""))</f>
        <v/>
      </c>
      <c r="J131" s="34" t="str">
        <f aca="false">IF(A131="","",IFERROR(INDEX(Items!$C$5:$C$304,MATCH(D131,Items!$A$5:$A$304,0))&amp;"",""))</f>
        <v/>
      </c>
      <c r="K131" s="35" t="n">
        <f aca="false">IF(A131="",0,IF(ISNUMBER(F131),F131,IFERROR(INDEX(Items!$D$5:$D$304,MATCH(D131,Items!$A$5:$A$304,0)),0)))</f>
        <v>0</v>
      </c>
      <c r="L131" s="35" t="n">
        <f aca="false">ROUND(N(E131)*K131*(1-N(G131)),2)</f>
        <v>0</v>
      </c>
      <c r="M131" s="36" t="n">
        <f aca="false">IF(A131="",0,IFERROR(INDEX(Items!$E$5:$E$304,MATCH(D131,Items!$A$5:$A$304,0)),0))</f>
        <v>0</v>
      </c>
      <c r="N131" s="37" t="str">
        <f aca="false">IF(A131="","",IFERROR(INDEX(Customers!$E$5:$E$204,MATCH(C131,Customers!$A$5:$A$204,0)),"?"))</f>
        <v/>
      </c>
      <c r="O131" s="38" t="str">
        <f aca="false">IF(A131="","",IF(N131=Settings!$B$17,"No","Yes"))</f>
        <v/>
      </c>
      <c r="P131" s="35" t="n">
        <f aca="false">IF(O131="Yes",ROUND(L131*M131,2),0)</f>
        <v>0</v>
      </c>
      <c r="Q131" s="35" t="n">
        <f aca="false">IF(O131="No",ROUND(L131*M131/2,2),0)</f>
        <v>0</v>
      </c>
      <c r="R131" s="35" t="n">
        <f aca="false">Q131</f>
        <v>0</v>
      </c>
      <c r="S131" s="35" t="n">
        <f aca="false">L131+P131+Q131+R131</f>
        <v>0</v>
      </c>
      <c r="T131" s="34" t="str">
        <f aca="false">IF(A131="","",IFERROR(INDEX(Customers!$B$5:$B$204,MATCH(C131,Customers!$A$5:$A$204,0))&amp;"",""))</f>
        <v/>
      </c>
      <c r="U131" s="38" t="str">
        <f aca="false">IF(A131="","",IF(T131&lt;&gt;"","B2B",IF(AND(O131="Yes",SUMIF($A$5:$A$1004,A131,$L$5:$L$1004)+SUMIF($A$5:$A$1004,A131,$P$5:$P$1004)&gt;100000),"B2CL","B2CS")))</f>
        <v/>
      </c>
      <c r="V131" s="17" t="str">
        <f aca="false">IF(A131="","",TEXT(B131,"mmm-yyyy"))</f>
        <v/>
      </c>
    </row>
    <row r="132" customFormat="false" ht="15" hidden="false" customHeight="true" outlineLevel="0" collapsed="false">
      <c r="A132" s="24"/>
      <c r="B132" s="39"/>
      <c r="C132" s="24"/>
      <c r="D132" s="24"/>
      <c r="E132" s="40"/>
      <c r="F132" s="29"/>
      <c r="G132" s="30"/>
      <c r="H132" s="17" t="str">
        <f aca="false">IF(A132="","",A132&amp;"|"&amp;COUNTIF(A$5:A132,A132))</f>
        <v/>
      </c>
      <c r="I132" s="33" t="str">
        <f aca="false">IF(A132="","",IFERROR(INDEX(Items!$B$5:$B$304,MATCH(D132,Items!$A$5:$A$304,0))&amp;"",""))</f>
        <v/>
      </c>
      <c r="J132" s="34" t="str">
        <f aca="false">IF(A132="","",IFERROR(INDEX(Items!$C$5:$C$304,MATCH(D132,Items!$A$5:$A$304,0))&amp;"",""))</f>
        <v/>
      </c>
      <c r="K132" s="35" t="n">
        <f aca="false">IF(A132="",0,IF(ISNUMBER(F132),F132,IFERROR(INDEX(Items!$D$5:$D$304,MATCH(D132,Items!$A$5:$A$304,0)),0)))</f>
        <v>0</v>
      </c>
      <c r="L132" s="35" t="n">
        <f aca="false">ROUND(N(E132)*K132*(1-N(G132)),2)</f>
        <v>0</v>
      </c>
      <c r="M132" s="36" t="n">
        <f aca="false">IF(A132="",0,IFERROR(INDEX(Items!$E$5:$E$304,MATCH(D132,Items!$A$5:$A$304,0)),0))</f>
        <v>0</v>
      </c>
      <c r="N132" s="37" t="str">
        <f aca="false">IF(A132="","",IFERROR(INDEX(Customers!$E$5:$E$204,MATCH(C132,Customers!$A$5:$A$204,0)),"?"))</f>
        <v/>
      </c>
      <c r="O132" s="38" t="str">
        <f aca="false">IF(A132="","",IF(N132=Settings!$B$17,"No","Yes"))</f>
        <v/>
      </c>
      <c r="P132" s="35" t="n">
        <f aca="false">IF(O132="Yes",ROUND(L132*M132,2),0)</f>
        <v>0</v>
      </c>
      <c r="Q132" s="35" t="n">
        <f aca="false">IF(O132="No",ROUND(L132*M132/2,2),0)</f>
        <v>0</v>
      </c>
      <c r="R132" s="35" t="n">
        <f aca="false">Q132</f>
        <v>0</v>
      </c>
      <c r="S132" s="35" t="n">
        <f aca="false">L132+P132+Q132+R132</f>
        <v>0</v>
      </c>
      <c r="T132" s="34" t="str">
        <f aca="false">IF(A132="","",IFERROR(INDEX(Customers!$B$5:$B$204,MATCH(C132,Customers!$A$5:$A$204,0))&amp;"",""))</f>
        <v/>
      </c>
      <c r="U132" s="38" t="str">
        <f aca="false">IF(A132="","",IF(T132&lt;&gt;"","B2B",IF(AND(O132="Yes",SUMIF($A$5:$A$1004,A132,$L$5:$L$1004)+SUMIF($A$5:$A$1004,A132,$P$5:$P$1004)&gt;100000),"B2CL","B2CS")))</f>
        <v/>
      </c>
      <c r="V132" s="17" t="str">
        <f aca="false">IF(A132="","",TEXT(B132,"mmm-yyyy"))</f>
        <v/>
      </c>
    </row>
    <row r="133" customFormat="false" ht="15" hidden="false" customHeight="true" outlineLevel="0" collapsed="false">
      <c r="A133" s="24"/>
      <c r="B133" s="39"/>
      <c r="C133" s="24"/>
      <c r="D133" s="24"/>
      <c r="E133" s="40"/>
      <c r="F133" s="29"/>
      <c r="G133" s="30"/>
      <c r="H133" s="17" t="str">
        <f aca="false">IF(A133="","",A133&amp;"|"&amp;COUNTIF(A$5:A133,A133))</f>
        <v/>
      </c>
      <c r="I133" s="33" t="str">
        <f aca="false">IF(A133="","",IFERROR(INDEX(Items!$B$5:$B$304,MATCH(D133,Items!$A$5:$A$304,0))&amp;"",""))</f>
        <v/>
      </c>
      <c r="J133" s="34" t="str">
        <f aca="false">IF(A133="","",IFERROR(INDEX(Items!$C$5:$C$304,MATCH(D133,Items!$A$5:$A$304,0))&amp;"",""))</f>
        <v/>
      </c>
      <c r="K133" s="35" t="n">
        <f aca="false">IF(A133="",0,IF(ISNUMBER(F133),F133,IFERROR(INDEX(Items!$D$5:$D$304,MATCH(D133,Items!$A$5:$A$304,0)),0)))</f>
        <v>0</v>
      </c>
      <c r="L133" s="35" t="n">
        <f aca="false">ROUND(N(E133)*K133*(1-N(G133)),2)</f>
        <v>0</v>
      </c>
      <c r="M133" s="36" t="n">
        <f aca="false">IF(A133="",0,IFERROR(INDEX(Items!$E$5:$E$304,MATCH(D133,Items!$A$5:$A$304,0)),0))</f>
        <v>0</v>
      </c>
      <c r="N133" s="37" t="str">
        <f aca="false">IF(A133="","",IFERROR(INDEX(Customers!$E$5:$E$204,MATCH(C133,Customers!$A$5:$A$204,0)),"?"))</f>
        <v/>
      </c>
      <c r="O133" s="38" t="str">
        <f aca="false">IF(A133="","",IF(N133=Settings!$B$17,"No","Yes"))</f>
        <v/>
      </c>
      <c r="P133" s="35" t="n">
        <f aca="false">IF(O133="Yes",ROUND(L133*M133,2),0)</f>
        <v>0</v>
      </c>
      <c r="Q133" s="35" t="n">
        <f aca="false">IF(O133="No",ROUND(L133*M133/2,2),0)</f>
        <v>0</v>
      </c>
      <c r="R133" s="35" t="n">
        <f aca="false">Q133</f>
        <v>0</v>
      </c>
      <c r="S133" s="35" t="n">
        <f aca="false">L133+P133+Q133+R133</f>
        <v>0</v>
      </c>
      <c r="T133" s="34" t="str">
        <f aca="false">IF(A133="","",IFERROR(INDEX(Customers!$B$5:$B$204,MATCH(C133,Customers!$A$5:$A$204,0))&amp;"",""))</f>
        <v/>
      </c>
      <c r="U133" s="38" t="str">
        <f aca="false">IF(A133="","",IF(T133&lt;&gt;"","B2B",IF(AND(O133="Yes",SUMIF($A$5:$A$1004,A133,$L$5:$L$1004)+SUMIF($A$5:$A$1004,A133,$P$5:$P$1004)&gt;100000),"B2CL","B2CS")))</f>
        <v/>
      </c>
      <c r="V133" s="17" t="str">
        <f aca="false">IF(A133="","",TEXT(B133,"mmm-yyyy"))</f>
        <v/>
      </c>
    </row>
    <row r="134" customFormat="false" ht="15" hidden="false" customHeight="true" outlineLevel="0" collapsed="false">
      <c r="A134" s="24"/>
      <c r="B134" s="39"/>
      <c r="C134" s="24"/>
      <c r="D134" s="24"/>
      <c r="E134" s="40"/>
      <c r="F134" s="29"/>
      <c r="G134" s="30"/>
      <c r="H134" s="17" t="str">
        <f aca="false">IF(A134="","",A134&amp;"|"&amp;COUNTIF(A$5:A134,A134))</f>
        <v/>
      </c>
      <c r="I134" s="33" t="str">
        <f aca="false">IF(A134="","",IFERROR(INDEX(Items!$B$5:$B$304,MATCH(D134,Items!$A$5:$A$304,0))&amp;"",""))</f>
        <v/>
      </c>
      <c r="J134" s="34" t="str">
        <f aca="false">IF(A134="","",IFERROR(INDEX(Items!$C$5:$C$304,MATCH(D134,Items!$A$5:$A$304,0))&amp;"",""))</f>
        <v/>
      </c>
      <c r="K134" s="35" t="n">
        <f aca="false">IF(A134="",0,IF(ISNUMBER(F134),F134,IFERROR(INDEX(Items!$D$5:$D$304,MATCH(D134,Items!$A$5:$A$304,0)),0)))</f>
        <v>0</v>
      </c>
      <c r="L134" s="35" t="n">
        <f aca="false">ROUND(N(E134)*K134*(1-N(G134)),2)</f>
        <v>0</v>
      </c>
      <c r="M134" s="36" t="n">
        <f aca="false">IF(A134="",0,IFERROR(INDEX(Items!$E$5:$E$304,MATCH(D134,Items!$A$5:$A$304,0)),0))</f>
        <v>0</v>
      </c>
      <c r="N134" s="37" t="str">
        <f aca="false">IF(A134="","",IFERROR(INDEX(Customers!$E$5:$E$204,MATCH(C134,Customers!$A$5:$A$204,0)),"?"))</f>
        <v/>
      </c>
      <c r="O134" s="38" t="str">
        <f aca="false">IF(A134="","",IF(N134=Settings!$B$17,"No","Yes"))</f>
        <v/>
      </c>
      <c r="P134" s="35" t="n">
        <f aca="false">IF(O134="Yes",ROUND(L134*M134,2),0)</f>
        <v>0</v>
      </c>
      <c r="Q134" s="35" t="n">
        <f aca="false">IF(O134="No",ROUND(L134*M134/2,2),0)</f>
        <v>0</v>
      </c>
      <c r="R134" s="35" t="n">
        <f aca="false">Q134</f>
        <v>0</v>
      </c>
      <c r="S134" s="35" t="n">
        <f aca="false">L134+P134+Q134+R134</f>
        <v>0</v>
      </c>
      <c r="T134" s="34" t="str">
        <f aca="false">IF(A134="","",IFERROR(INDEX(Customers!$B$5:$B$204,MATCH(C134,Customers!$A$5:$A$204,0))&amp;"",""))</f>
        <v/>
      </c>
      <c r="U134" s="38" t="str">
        <f aca="false">IF(A134="","",IF(T134&lt;&gt;"","B2B",IF(AND(O134="Yes",SUMIF($A$5:$A$1004,A134,$L$5:$L$1004)+SUMIF($A$5:$A$1004,A134,$P$5:$P$1004)&gt;100000),"B2CL","B2CS")))</f>
        <v/>
      </c>
      <c r="V134" s="17" t="str">
        <f aca="false">IF(A134="","",TEXT(B134,"mmm-yyyy"))</f>
        <v/>
      </c>
    </row>
    <row r="135" customFormat="false" ht="15" hidden="false" customHeight="true" outlineLevel="0" collapsed="false">
      <c r="A135" s="24"/>
      <c r="B135" s="39"/>
      <c r="C135" s="24"/>
      <c r="D135" s="24"/>
      <c r="E135" s="40"/>
      <c r="F135" s="29"/>
      <c r="G135" s="30"/>
      <c r="H135" s="17" t="str">
        <f aca="false">IF(A135="","",A135&amp;"|"&amp;COUNTIF(A$5:A135,A135))</f>
        <v/>
      </c>
      <c r="I135" s="33" t="str">
        <f aca="false">IF(A135="","",IFERROR(INDEX(Items!$B$5:$B$304,MATCH(D135,Items!$A$5:$A$304,0))&amp;"",""))</f>
        <v/>
      </c>
      <c r="J135" s="34" t="str">
        <f aca="false">IF(A135="","",IFERROR(INDEX(Items!$C$5:$C$304,MATCH(D135,Items!$A$5:$A$304,0))&amp;"",""))</f>
        <v/>
      </c>
      <c r="K135" s="35" t="n">
        <f aca="false">IF(A135="",0,IF(ISNUMBER(F135),F135,IFERROR(INDEX(Items!$D$5:$D$304,MATCH(D135,Items!$A$5:$A$304,0)),0)))</f>
        <v>0</v>
      </c>
      <c r="L135" s="35" t="n">
        <f aca="false">ROUND(N(E135)*K135*(1-N(G135)),2)</f>
        <v>0</v>
      </c>
      <c r="M135" s="36" t="n">
        <f aca="false">IF(A135="",0,IFERROR(INDEX(Items!$E$5:$E$304,MATCH(D135,Items!$A$5:$A$304,0)),0))</f>
        <v>0</v>
      </c>
      <c r="N135" s="37" t="str">
        <f aca="false">IF(A135="","",IFERROR(INDEX(Customers!$E$5:$E$204,MATCH(C135,Customers!$A$5:$A$204,0)),"?"))</f>
        <v/>
      </c>
      <c r="O135" s="38" t="str">
        <f aca="false">IF(A135="","",IF(N135=Settings!$B$17,"No","Yes"))</f>
        <v/>
      </c>
      <c r="P135" s="35" t="n">
        <f aca="false">IF(O135="Yes",ROUND(L135*M135,2),0)</f>
        <v>0</v>
      </c>
      <c r="Q135" s="35" t="n">
        <f aca="false">IF(O135="No",ROUND(L135*M135/2,2),0)</f>
        <v>0</v>
      </c>
      <c r="R135" s="35" t="n">
        <f aca="false">Q135</f>
        <v>0</v>
      </c>
      <c r="S135" s="35" t="n">
        <f aca="false">L135+P135+Q135+R135</f>
        <v>0</v>
      </c>
      <c r="T135" s="34" t="str">
        <f aca="false">IF(A135="","",IFERROR(INDEX(Customers!$B$5:$B$204,MATCH(C135,Customers!$A$5:$A$204,0))&amp;"",""))</f>
        <v/>
      </c>
      <c r="U135" s="38" t="str">
        <f aca="false">IF(A135="","",IF(T135&lt;&gt;"","B2B",IF(AND(O135="Yes",SUMIF($A$5:$A$1004,A135,$L$5:$L$1004)+SUMIF($A$5:$A$1004,A135,$P$5:$P$1004)&gt;100000),"B2CL","B2CS")))</f>
        <v/>
      </c>
      <c r="V135" s="17" t="str">
        <f aca="false">IF(A135="","",TEXT(B135,"mmm-yyyy"))</f>
        <v/>
      </c>
    </row>
    <row r="136" customFormat="false" ht="15" hidden="false" customHeight="true" outlineLevel="0" collapsed="false">
      <c r="A136" s="24"/>
      <c r="B136" s="39"/>
      <c r="C136" s="24"/>
      <c r="D136" s="24"/>
      <c r="E136" s="40"/>
      <c r="F136" s="29"/>
      <c r="G136" s="30"/>
      <c r="H136" s="17" t="str">
        <f aca="false">IF(A136="","",A136&amp;"|"&amp;COUNTIF(A$5:A136,A136))</f>
        <v/>
      </c>
      <c r="I136" s="33" t="str">
        <f aca="false">IF(A136="","",IFERROR(INDEX(Items!$B$5:$B$304,MATCH(D136,Items!$A$5:$A$304,0))&amp;"",""))</f>
        <v/>
      </c>
      <c r="J136" s="34" t="str">
        <f aca="false">IF(A136="","",IFERROR(INDEX(Items!$C$5:$C$304,MATCH(D136,Items!$A$5:$A$304,0))&amp;"",""))</f>
        <v/>
      </c>
      <c r="K136" s="35" t="n">
        <f aca="false">IF(A136="",0,IF(ISNUMBER(F136),F136,IFERROR(INDEX(Items!$D$5:$D$304,MATCH(D136,Items!$A$5:$A$304,0)),0)))</f>
        <v>0</v>
      </c>
      <c r="L136" s="35" t="n">
        <f aca="false">ROUND(N(E136)*K136*(1-N(G136)),2)</f>
        <v>0</v>
      </c>
      <c r="M136" s="36" t="n">
        <f aca="false">IF(A136="",0,IFERROR(INDEX(Items!$E$5:$E$304,MATCH(D136,Items!$A$5:$A$304,0)),0))</f>
        <v>0</v>
      </c>
      <c r="N136" s="37" t="str">
        <f aca="false">IF(A136="","",IFERROR(INDEX(Customers!$E$5:$E$204,MATCH(C136,Customers!$A$5:$A$204,0)),"?"))</f>
        <v/>
      </c>
      <c r="O136" s="38" t="str">
        <f aca="false">IF(A136="","",IF(N136=Settings!$B$17,"No","Yes"))</f>
        <v/>
      </c>
      <c r="P136" s="35" t="n">
        <f aca="false">IF(O136="Yes",ROUND(L136*M136,2),0)</f>
        <v>0</v>
      </c>
      <c r="Q136" s="35" t="n">
        <f aca="false">IF(O136="No",ROUND(L136*M136/2,2),0)</f>
        <v>0</v>
      </c>
      <c r="R136" s="35" t="n">
        <f aca="false">Q136</f>
        <v>0</v>
      </c>
      <c r="S136" s="35" t="n">
        <f aca="false">L136+P136+Q136+R136</f>
        <v>0</v>
      </c>
      <c r="T136" s="34" t="str">
        <f aca="false">IF(A136="","",IFERROR(INDEX(Customers!$B$5:$B$204,MATCH(C136,Customers!$A$5:$A$204,0))&amp;"",""))</f>
        <v/>
      </c>
      <c r="U136" s="38" t="str">
        <f aca="false">IF(A136="","",IF(T136&lt;&gt;"","B2B",IF(AND(O136="Yes",SUMIF($A$5:$A$1004,A136,$L$5:$L$1004)+SUMIF($A$5:$A$1004,A136,$P$5:$P$1004)&gt;100000),"B2CL","B2CS")))</f>
        <v/>
      </c>
      <c r="V136" s="17" t="str">
        <f aca="false">IF(A136="","",TEXT(B136,"mmm-yyyy"))</f>
        <v/>
      </c>
    </row>
    <row r="137" customFormat="false" ht="15" hidden="false" customHeight="true" outlineLevel="0" collapsed="false">
      <c r="A137" s="24"/>
      <c r="B137" s="39"/>
      <c r="C137" s="24"/>
      <c r="D137" s="24"/>
      <c r="E137" s="40"/>
      <c r="F137" s="29"/>
      <c r="G137" s="30"/>
      <c r="H137" s="17" t="str">
        <f aca="false">IF(A137="","",A137&amp;"|"&amp;COUNTIF(A$5:A137,A137))</f>
        <v/>
      </c>
      <c r="I137" s="33" t="str">
        <f aca="false">IF(A137="","",IFERROR(INDEX(Items!$B$5:$B$304,MATCH(D137,Items!$A$5:$A$304,0))&amp;"",""))</f>
        <v/>
      </c>
      <c r="J137" s="34" t="str">
        <f aca="false">IF(A137="","",IFERROR(INDEX(Items!$C$5:$C$304,MATCH(D137,Items!$A$5:$A$304,0))&amp;"",""))</f>
        <v/>
      </c>
      <c r="K137" s="35" t="n">
        <f aca="false">IF(A137="",0,IF(ISNUMBER(F137),F137,IFERROR(INDEX(Items!$D$5:$D$304,MATCH(D137,Items!$A$5:$A$304,0)),0)))</f>
        <v>0</v>
      </c>
      <c r="L137" s="35" t="n">
        <f aca="false">ROUND(N(E137)*K137*(1-N(G137)),2)</f>
        <v>0</v>
      </c>
      <c r="M137" s="36" t="n">
        <f aca="false">IF(A137="",0,IFERROR(INDEX(Items!$E$5:$E$304,MATCH(D137,Items!$A$5:$A$304,0)),0))</f>
        <v>0</v>
      </c>
      <c r="N137" s="37" t="str">
        <f aca="false">IF(A137="","",IFERROR(INDEX(Customers!$E$5:$E$204,MATCH(C137,Customers!$A$5:$A$204,0)),"?"))</f>
        <v/>
      </c>
      <c r="O137" s="38" t="str">
        <f aca="false">IF(A137="","",IF(N137=Settings!$B$17,"No","Yes"))</f>
        <v/>
      </c>
      <c r="P137" s="35" t="n">
        <f aca="false">IF(O137="Yes",ROUND(L137*M137,2),0)</f>
        <v>0</v>
      </c>
      <c r="Q137" s="35" t="n">
        <f aca="false">IF(O137="No",ROUND(L137*M137/2,2),0)</f>
        <v>0</v>
      </c>
      <c r="R137" s="35" t="n">
        <f aca="false">Q137</f>
        <v>0</v>
      </c>
      <c r="S137" s="35" t="n">
        <f aca="false">L137+P137+Q137+R137</f>
        <v>0</v>
      </c>
      <c r="T137" s="34" t="str">
        <f aca="false">IF(A137="","",IFERROR(INDEX(Customers!$B$5:$B$204,MATCH(C137,Customers!$A$5:$A$204,0))&amp;"",""))</f>
        <v/>
      </c>
      <c r="U137" s="38" t="str">
        <f aca="false">IF(A137="","",IF(T137&lt;&gt;"","B2B",IF(AND(O137="Yes",SUMIF($A$5:$A$1004,A137,$L$5:$L$1004)+SUMIF($A$5:$A$1004,A137,$P$5:$P$1004)&gt;100000),"B2CL","B2CS")))</f>
        <v/>
      </c>
      <c r="V137" s="17" t="str">
        <f aca="false">IF(A137="","",TEXT(B137,"mmm-yyyy"))</f>
        <v/>
      </c>
    </row>
    <row r="138" customFormat="false" ht="15" hidden="false" customHeight="true" outlineLevel="0" collapsed="false">
      <c r="A138" s="24"/>
      <c r="B138" s="39"/>
      <c r="C138" s="24"/>
      <c r="D138" s="24"/>
      <c r="E138" s="40"/>
      <c r="F138" s="29"/>
      <c r="G138" s="30"/>
      <c r="H138" s="17" t="str">
        <f aca="false">IF(A138="","",A138&amp;"|"&amp;COUNTIF(A$5:A138,A138))</f>
        <v/>
      </c>
      <c r="I138" s="33" t="str">
        <f aca="false">IF(A138="","",IFERROR(INDEX(Items!$B$5:$B$304,MATCH(D138,Items!$A$5:$A$304,0))&amp;"",""))</f>
        <v/>
      </c>
      <c r="J138" s="34" t="str">
        <f aca="false">IF(A138="","",IFERROR(INDEX(Items!$C$5:$C$304,MATCH(D138,Items!$A$5:$A$304,0))&amp;"",""))</f>
        <v/>
      </c>
      <c r="K138" s="35" t="n">
        <f aca="false">IF(A138="",0,IF(ISNUMBER(F138),F138,IFERROR(INDEX(Items!$D$5:$D$304,MATCH(D138,Items!$A$5:$A$304,0)),0)))</f>
        <v>0</v>
      </c>
      <c r="L138" s="35" t="n">
        <f aca="false">ROUND(N(E138)*K138*(1-N(G138)),2)</f>
        <v>0</v>
      </c>
      <c r="M138" s="36" t="n">
        <f aca="false">IF(A138="",0,IFERROR(INDEX(Items!$E$5:$E$304,MATCH(D138,Items!$A$5:$A$304,0)),0))</f>
        <v>0</v>
      </c>
      <c r="N138" s="37" t="str">
        <f aca="false">IF(A138="","",IFERROR(INDEX(Customers!$E$5:$E$204,MATCH(C138,Customers!$A$5:$A$204,0)),"?"))</f>
        <v/>
      </c>
      <c r="O138" s="38" t="str">
        <f aca="false">IF(A138="","",IF(N138=Settings!$B$17,"No","Yes"))</f>
        <v/>
      </c>
      <c r="P138" s="35" t="n">
        <f aca="false">IF(O138="Yes",ROUND(L138*M138,2),0)</f>
        <v>0</v>
      </c>
      <c r="Q138" s="35" t="n">
        <f aca="false">IF(O138="No",ROUND(L138*M138/2,2),0)</f>
        <v>0</v>
      </c>
      <c r="R138" s="35" t="n">
        <f aca="false">Q138</f>
        <v>0</v>
      </c>
      <c r="S138" s="35" t="n">
        <f aca="false">L138+P138+Q138+R138</f>
        <v>0</v>
      </c>
      <c r="T138" s="34" t="str">
        <f aca="false">IF(A138="","",IFERROR(INDEX(Customers!$B$5:$B$204,MATCH(C138,Customers!$A$5:$A$204,0))&amp;"",""))</f>
        <v/>
      </c>
      <c r="U138" s="38" t="str">
        <f aca="false">IF(A138="","",IF(T138&lt;&gt;"","B2B",IF(AND(O138="Yes",SUMIF($A$5:$A$1004,A138,$L$5:$L$1004)+SUMIF($A$5:$A$1004,A138,$P$5:$P$1004)&gt;100000),"B2CL","B2CS")))</f>
        <v/>
      </c>
      <c r="V138" s="17" t="str">
        <f aca="false">IF(A138="","",TEXT(B138,"mmm-yyyy"))</f>
        <v/>
      </c>
    </row>
    <row r="139" customFormat="false" ht="15" hidden="false" customHeight="true" outlineLevel="0" collapsed="false">
      <c r="A139" s="24"/>
      <c r="B139" s="39"/>
      <c r="C139" s="24"/>
      <c r="D139" s="24"/>
      <c r="E139" s="40"/>
      <c r="F139" s="29"/>
      <c r="G139" s="30"/>
      <c r="H139" s="17" t="str">
        <f aca="false">IF(A139="","",A139&amp;"|"&amp;COUNTIF(A$5:A139,A139))</f>
        <v/>
      </c>
      <c r="I139" s="33" t="str">
        <f aca="false">IF(A139="","",IFERROR(INDEX(Items!$B$5:$B$304,MATCH(D139,Items!$A$5:$A$304,0))&amp;"",""))</f>
        <v/>
      </c>
      <c r="J139" s="34" t="str">
        <f aca="false">IF(A139="","",IFERROR(INDEX(Items!$C$5:$C$304,MATCH(D139,Items!$A$5:$A$304,0))&amp;"",""))</f>
        <v/>
      </c>
      <c r="K139" s="35" t="n">
        <f aca="false">IF(A139="",0,IF(ISNUMBER(F139),F139,IFERROR(INDEX(Items!$D$5:$D$304,MATCH(D139,Items!$A$5:$A$304,0)),0)))</f>
        <v>0</v>
      </c>
      <c r="L139" s="35" t="n">
        <f aca="false">ROUND(N(E139)*K139*(1-N(G139)),2)</f>
        <v>0</v>
      </c>
      <c r="M139" s="36" t="n">
        <f aca="false">IF(A139="",0,IFERROR(INDEX(Items!$E$5:$E$304,MATCH(D139,Items!$A$5:$A$304,0)),0))</f>
        <v>0</v>
      </c>
      <c r="N139" s="37" t="str">
        <f aca="false">IF(A139="","",IFERROR(INDEX(Customers!$E$5:$E$204,MATCH(C139,Customers!$A$5:$A$204,0)),"?"))</f>
        <v/>
      </c>
      <c r="O139" s="38" t="str">
        <f aca="false">IF(A139="","",IF(N139=Settings!$B$17,"No","Yes"))</f>
        <v/>
      </c>
      <c r="P139" s="35" t="n">
        <f aca="false">IF(O139="Yes",ROUND(L139*M139,2),0)</f>
        <v>0</v>
      </c>
      <c r="Q139" s="35" t="n">
        <f aca="false">IF(O139="No",ROUND(L139*M139/2,2),0)</f>
        <v>0</v>
      </c>
      <c r="R139" s="35" t="n">
        <f aca="false">Q139</f>
        <v>0</v>
      </c>
      <c r="S139" s="35" t="n">
        <f aca="false">L139+P139+Q139+R139</f>
        <v>0</v>
      </c>
      <c r="T139" s="34" t="str">
        <f aca="false">IF(A139="","",IFERROR(INDEX(Customers!$B$5:$B$204,MATCH(C139,Customers!$A$5:$A$204,0))&amp;"",""))</f>
        <v/>
      </c>
      <c r="U139" s="38" t="str">
        <f aca="false">IF(A139="","",IF(T139&lt;&gt;"","B2B",IF(AND(O139="Yes",SUMIF($A$5:$A$1004,A139,$L$5:$L$1004)+SUMIF($A$5:$A$1004,A139,$P$5:$P$1004)&gt;100000),"B2CL","B2CS")))</f>
        <v/>
      </c>
      <c r="V139" s="17" t="str">
        <f aca="false">IF(A139="","",TEXT(B139,"mmm-yyyy"))</f>
        <v/>
      </c>
    </row>
    <row r="140" customFormat="false" ht="15" hidden="false" customHeight="true" outlineLevel="0" collapsed="false">
      <c r="A140" s="24"/>
      <c r="B140" s="39"/>
      <c r="C140" s="24"/>
      <c r="D140" s="24"/>
      <c r="E140" s="40"/>
      <c r="F140" s="29"/>
      <c r="G140" s="30"/>
      <c r="H140" s="17" t="str">
        <f aca="false">IF(A140="","",A140&amp;"|"&amp;COUNTIF(A$5:A140,A140))</f>
        <v/>
      </c>
      <c r="I140" s="33" t="str">
        <f aca="false">IF(A140="","",IFERROR(INDEX(Items!$B$5:$B$304,MATCH(D140,Items!$A$5:$A$304,0))&amp;"",""))</f>
        <v/>
      </c>
      <c r="J140" s="34" t="str">
        <f aca="false">IF(A140="","",IFERROR(INDEX(Items!$C$5:$C$304,MATCH(D140,Items!$A$5:$A$304,0))&amp;"",""))</f>
        <v/>
      </c>
      <c r="K140" s="35" t="n">
        <f aca="false">IF(A140="",0,IF(ISNUMBER(F140),F140,IFERROR(INDEX(Items!$D$5:$D$304,MATCH(D140,Items!$A$5:$A$304,0)),0)))</f>
        <v>0</v>
      </c>
      <c r="L140" s="35" t="n">
        <f aca="false">ROUND(N(E140)*K140*(1-N(G140)),2)</f>
        <v>0</v>
      </c>
      <c r="M140" s="36" t="n">
        <f aca="false">IF(A140="",0,IFERROR(INDEX(Items!$E$5:$E$304,MATCH(D140,Items!$A$5:$A$304,0)),0))</f>
        <v>0</v>
      </c>
      <c r="N140" s="37" t="str">
        <f aca="false">IF(A140="","",IFERROR(INDEX(Customers!$E$5:$E$204,MATCH(C140,Customers!$A$5:$A$204,0)),"?"))</f>
        <v/>
      </c>
      <c r="O140" s="38" t="str">
        <f aca="false">IF(A140="","",IF(N140=Settings!$B$17,"No","Yes"))</f>
        <v/>
      </c>
      <c r="P140" s="35" t="n">
        <f aca="false">IF(O140="Yes",ROUND(L140*M140,2),0)</f>
        <v>0</v>
      </c>
      <c r="Q140" s="35" t="n">
        <f aca="false">IF(O140="No",ROUND(L140*M140/2,2),0)</f>
        <v>0</v>
      </c>
      <c r="R140" s="35" t="n">
        <f aca="false">Q140</f>
        <v>0</v>
      </c>
      <c r="S140" s="35" t="n">
        <f aca="false">L140+P140+Q140+R140</f>
        <v>0</v>
      </c>
      <c r="T140" s="34" t="str">
        <f aca="false">IF(A140="","",IFERROR(INDEX(Customers!$B$5:$B$204,MATCH(C140,Customers!$A$5:$A$204,0))&amp;"",""))</f>
        <v/>
      </c>
      <c r="U140" s="38" t="str">
        <f aca="false">IF(A140="","",IF(T140&lt;&gt;"","B2B",IF(AND(O140="Yes",SUMIF($A$5:$A$1004,A140,$L$5:$L$1004)+SUMIF($A$5:$A$1004,A140,$P$5:$P$1004)&gt;100000),"B2CL","B2CS")))</f>
        <v/>
      </c>
      <c r="V140" s="17" t="str">
        <f aca="false">IF(A140="","",TEXT(B140,"mmm-yyyy"))</f>
        <v/>
      </c>
    </row>
    <row r="141" customFormat="false" ht="15" hidden="false" customHeight="true" outlineLevel="0" collapsed="false">
      <c r="A141" s="24"/>
      <c r="B141" s="39"/>
      <c r="C141" s="24"/>
      <c r="D141" s="24"/>
      <c r="E141" s="40"/>
      <c r="F141" s="29"/>
      <c r="G141" s="30"/>
      <c r="H141" s="17" t="str">
        <f aca="false">IF(A141="","",A141&amp;"|"&amp;COUNTIF(A$5:A141,A141))</f>
        <v/>
      </c>
      <c r="I141" s="33" t="str">
        <f aca="false">IF(A141="","",IFERROR(INDEX(Items!$B$5:$B$304,MATCH(D141,Items!$A$5:$A$304,0))&amp;"",""))</f>
        <v/>
      </c>
      <c r="J141" s="34" t="str">
        <f aca="false">IF(A141="","",IFERROR(INDEX(Items!$C$5:$C$304,MATCH(D141,Items!$A$5:$A$304,0))&amp;"",""))</f>
        <v/>
      </c>
      <c r="K141" s="35" t="n">
        <f aca="false">IF(A141="",0,IF(ISNUMBER(F141),F141,IFERROR(INDEX(Items!$D$5:$D$304,MATCH(D141,Items!$A$5:$A$304,0)),0)))</f>
        <v>0</v>
      </c>
      <c r="L141" s="35" t="n">
        <f aca="false">ROUND(N(E141)*K141*(1-N(G141)),2)</f>
        <v>0</v>
      </c>
      <c r="M141" s="36" t="n">
        <f aca="false">IF(A141="",0,IFERROR(INDEX(Items!$E$5:$E$304,MATCH(D141,Items!$A$5:$A$304,0)),0))</f>
        <v>0</v>
      </c>
      <c r="N141" s="37" t="str">
        <f aca="false">IF(A141="","",IFERROR(INDEX(Customers!$E$5:$E$204,MATCH(C141,Customers!$A$5:$A$204,0)),"?"))</f>
        <v/>
      </c>
      <c r="O141" s="38" t="str">
        <f aca="false">IF(A141="","",IF(N141=Settings!$B$17,"No","Yes"))</f>
        <v/>
      </c>
      <c r="P141" s="35" t="n">
        <f aca="false">IF(O141="Yes",ROUND(L141*M141,2),0)</f>
        <v>0</v>
      </c>
      <c r="Q141" s="35" t="n">
        <f aca="false">IF(O141="No",ROUND(L141*M141/2,2),0)</f>
        <v>0</v>
      </c>
      <c r="R141" s="35" t="n">
        <f aca="false">Q141</f>
        <v>0</v>
      </c>
      <c r="S141" s="35" t="n">
        <f aca="false">L141+P141+Q141+R141</f>
        <v>0</v>
      </c>
      <c r="T141" s="34" t="str">
        <f aca="false">IF(A141="","",IFERROR(INDEX(Customers!$B$5:$B$204,MATCH(C141,Customers!$A$5:$A$204,0))&amp;"",""))</f>
        <v/>
      </c>
      <c r="U141" s="38" t="str">
        <f aca="false">IF(A141="","",IF(T141&lt;&gt;"","B2B",IF(AND(O141="Yes",SUMIF($A$5:$A$1004,A141,$L$5:$L$1004)+SUMIF($A$5:$A$1004,A141,$P$5:$P$1004)&gt;100000),"B2CL","B2CS")))</f>
        <v/>
      </c>
      <c r="V141" s="17" t="str">
        <f aca="false">IF(A141="","",TEXT(B141,"mmm-yyyy"))</f>
        <v/>
      </c>
    </row>
    <row r="142" customFormat="false" ht="15" hidden="false" customHeight="true" outlineLevel="0" collapsed="false">
      <c r="A142" s="24"/>
      <c r="B142" s="39"/>
      <c r="C142" s="24"/>
      <c r="D142" s="24"/>
      <c r="E142" s="40"/>
      <c r="F142" s="29"/>
      <c r="G142" s="30"/>
      <c r="H142" s="17" t="str">
        <f aca="false">IF(A142="","",A142&amp;"|"&amp;COUNTIF(A$5:A142,A142))</f>
        <v/>
      </c>
      <c r="I142" s="33" t="str">
        <f aca="false">IF(A142="","",IFERROR(INDEX(Items!$B$5:$B$304,MATCH(D142,Items!$A$5:$A$304,0))&amp;"",""))</f>
        <v/>
      </c>
      <c r="J142" s="34" t="str">
        <f aca="false">IF(A142="","",IFERROR(INDEX(Items!$C$5:$C$304,MATCH(D142,Items!$A$5:$A$304,0))&amp;"",""))</f>
        <v/>
      </c>
      <c r="K142" s="35" t="n">
        <f aca="false">IF(A142="",0,IF(ISNUMBER(F142),F142,IFERROR(INDEX(Items!$D$5:$D$304,MATCH(D142,Items!$A$5:$A$304,0)),0)))</f>
        <v>0</v>
      </c>
      <c r="L142" s="35" t="n">
        <f aca="false">ROUND(N(E142)*K142*(1-N(G142)),2)</f>
        <v>0</v>
      </c>
      <c r="M142" s="36" t="n">
        <f aca="false">IF(A142="",0,IFERROR(INDEX(Items!$E$5:$E$304,MATCH(D142,Items!$A$5:$A$304,0)),0))</f>
        <v>0</v>
      </c>
      <c r="N142" s="37" t="str">
        <f aca="false">IF(A142="","",IFERROR(INDEX(Customers!$E$5:$E$204,MATCH(C142,Customers!$A$5:$A$204,0)),"?"))</f>
        <v/>
      </c>
      <c r="O142" s="38" t="str">
        <f aca="false">IF(A142="","",IF(N142=Settings!$B$17,"No","Yes"))</f>
        <v/>
      </c>
      <c r="P142" s="35" t="n">
        <f aca="false">IF(O142="Yes",ROUND(L142*M142,2),0)</f>
        <v>0</v>
      </c>
      <c r="Q142" s="35" t="n">
        <f aca="false">IF(O142="No",ROUND(L142*M142/2,2),0)</f>
        <v>0</v>
      </c>
      <c r="R142" s="35" t="n">
        <f aca="false">Q142</f>
        <v>0</v>
      </c>
      <c r="S142" s="35" t="n">
        <f aca="false">L142+P142+Q142+R142</f>
        <v>0</v>
      </c>
      <c r="T142" s="34" t="str">
        <f aca="false">IF(A142="","",IFERROR(INDEX(Customers!$B$5:$B$204,MATCH(C142,Customers!$A$5:$A$204,0))&amp;"",""))</f>
        <v/>
      </c>
      <c r="U142" s="38" t="str">
        <f aca="false">IF(A142="","",IF(T142&lt;&gt;"","B2B",IF(AND(O142="Yes",SUMIF($A$5:$A$1004,A142,$L$5:$L$1004)+SUMIF($A$5:$A$1004,A142,$P$5:$P$1004)&gt;100000),"B2CL","B2CS")))</f>
        <v/>
      </c>
      <c r="V142" s="17" t="str">
        <f aca="false">IF(A142="","",TEXT(B142,"mmm-yyyy"))</f>
        <v/>
      </c>
    </row>
    <row r="143" customFormat="false" ht="15" hidden="false" customHeight="true" outlineLevel="0" collapsed="false">
      <c r="A143" s="24"/>
      <c r="B143" s="39"/>
      <c r="C143" s="24"/>
      <c r="D143" s="24"/>
      <c r="E143" s="40"/>
      <c r="F143" s="29"/>
      <c r="G143" s="30"/>
      <c r="H143" s="17" t="str">
        <f aca="false">IF(A143="","",A143&amp;"|"&amp;COUNTIF(A$5:A143,A143))</f>
        <v/>
      </c>
      <c r="I143" s="33" t="str">
        <f aca="false">IF(A143="","",IFERROR(INDEX(Items!$B$5:$B$304,MATCH(D143,Items!$A$5:$A$304,0))&amp;"",""))</f>
        <v/>
      </c>
      <c r="J143" s="34" t="str">
        <f aca="false">IF(A143="","",IFERROR(INDEX(Items!$C$5:$C$304,MATCH(D143,Items!$A$5:$A$304,0))&amp;"",""))</f>
        <v/>
      </c>
      <c r="K143" s="35" t="n">
        <f aca="false">IF(A143="",0,IF(ISNUMBER(F143),F143,IFERROR(INDEX(Items!$D$5:$D$304,MATCH(D143,Items!$A$5:$A$304,0)),0)))</f>
        <v>0</v>
      </c>
      <c r="L143" s="35" t="n">
        <f aca="false">ROUND(N(E143)*K143*(1-N(G143)),2)</f>
        <v>0</v>
      </c>
      <c r="M143" s="36" t="n">
        <f aca="false">IF(A143="",0,IFERROR(INDEX(Items!$E$5:$E$304,MATCH(D143,Items!$A$5:$A$304,0)),0))</f>
        <v>0</v>
      </c>
      <c r="N143" s="37" t="str">
        <f aca="false">IF(A143="","",IFERROR(INDEX(Customers!$E$5:$E$204,MATCH(C143,Customers!$A$5:$A$204,0)),"?"))</f>
        <v/>
      </c>
      <c r="O143" s="38" t="str">
        <f aca="false">IF(A143="","",IF(N143=Settings!$B$17,"No","Yes"))</f>
        <v/>
      </c>
      <c r="P143" s="35" t="n">
        <f aca="false">IF(O143="Yes",ROUND(L143*M143,2),0)</f>
        <v>0</v>
      </c>
      <c r="Q143" s="35" t="n">
        <f aca="false">IF(O143="No",ROUND(L143*M143/2,2),0)</f>
        <v>0</v>
      </c>
      <c r="R143" s="35" t="n">
        <f aca="false">Q143</f>
        <v>0</v>
      </c>
      <c r="S143" s="35" t="n">
        <f aca="false">L143+P143+Q143+R143</f>
        <v>0</v>
      </c>
      <c r="T143" s="34" t="str">
        <f aca="false">IF(A143="","",IFERROR(INDEX(Customers!$B$5:$B$204,MATCH(C143,Customers!$A$5:$A$204,0))&amp;"",""))</f>
        <v/>
      </c>
      <c r="U143" s="38" t="str">
        <f aca="false">IF(A143="","",IF(T143&lt;&gt;"","B2B",IF(AND(O143="Yes",SUMIF($A$5:$A$1004,A143,$L$5:$L$1004)+SUMIF($A$5:$A$1004,A143,$P$5:$P$1004)&gt;100000),"B2CL","B2CS")))</f>
        <v/>
      </c>
      <c r="V143" s="17" t="str">
        <f aca="false">IF(A143="","",TEXT(B143,"mmm-yyyy"))</f>
        <v/>
      </c>
    </row>
    <row r="144" customFormat="false" ht="15" hidden="false" customHeight="true" outlineLevel="0" collapsed="false">
      <c r="A144" s="24"/>
      <c r="B144" s="39"/>
      <c r="C144" s="24"/>
      <c r="D144" s="24"/>
      <c r="E144" s="40"/>
      <c r="F144" s="29"/>
      <c r="G144" s="30"/>
      <c r="H144" s="17" t="str">
        <f aca="false">IF(A144="","",A144&amp;"|"&amp;COUNTIF(A$5:A144,A144))</f>
        <v/>
      </c>
      <c r="I144" s="33" t="str">
        <f aca="false">IF(A144="","",IFERROR(INDEX(Items!$B$5:$B$304,MATCH(D144,Items!$A$5:$A$304,0))&amp;"",""))</f>
        <v/>
      </c>
      <c r="J144" s="34" t="str">
        <f aca="false">IF(A144="","",IFERROR(INDEX(Items!$C$5:$C$304,MATCH(D144,Items!$A$5:$A$304,0))&amp;"",""))</f>
        <v/>
      </c>
      <c r="K144" s="35" t="n">
        <f aca="false">IF(A144="",0,IF(ISNUMBER(F144),F144,IFERROR(INDEX(Items!$D$5:$D$304,MATCH(D144,Items!$A$5:$A$304,0)),0)))</f>
        <v>0</v>
      </c>
      <c r="L144" s="35" t="n">
        <f aca="false">ROUND(N(E144)*K144*(1-N(G144)),2)</f>
        <v>0</v>
      </c>
      <c r="M144" s="36" t="n">
        <f aca="false">IF(A144="",0,IFERROR(INDEX(Items!$E$5:$E$304,MATCH(D144,Items!$A$5:$A$304,0)),0))</f>
        <v>0</v>
      </c>
      <c r="N144" s="37" t="str">
        <f aca="false">IF(A144="","",IFERROR(INDEX(Customers!$E$5:$E$204,MATCH(C144,Customers!$A$5:$A$204,0)),"?"))</f>
        <v/>
      </c>
      <c r="O144" s="38" t="str">
        <f aca="false">IF(A144="","",IF(N144=Settings!$B$17,"No","Yes"))</f>
        <v/>
      </c>
      <c r="P144" s="35" t="n">
        <f aca="false">IF(O144="Yes",ROUND(L144*M144,2),0)</f>
        <v>0</v>
      </c>
      <c r="Q144" s="35" t="n">
        <f aca="false">IF(O144="No",ROUND(L144*M144/2,2),0)</f>
        <v>0</v>
      </c>
      <c r="R144" s="35" t="n">
        <f aca="false">Q144</f>
        <v>0</v>
      </c>
      <c r="S144" s="35" t="n">
        <f aca="false">L144+P144+Q144+R144</f>
        <v>0</v>
      </c>
      <c r="T144" s="34" t="str">
        <f aca="false">IF(A144="","",IFERROR(INDEX(Customers!$B$5:$B$204,MATCH(C144,Customers!$A$5:$A$204,0))&amp;"",""))</f>
        <v/>
      </c>
      <c r="U144" s="38" t="str">
        <f aca="false">IF(A144="","",IF(T144&lt;&gt;"","B2B",IF(AND(O144="Yes",SUMIF($A$5:$A$1004,A144,$L$5:$L$1004)+SUMIF($A$5:$A$1004,A144,$P$5:$P$1004)&gt;100000),"B2CL","B2CS")))</f>
        <v/>
      </c>
      <c r="V144" s="17" t="str">
        <f aca="false">IF(A144="","",TEXT(B144,"mmm-yyyy"))</f>
        <v/>
      </c>
    </row>
    <row r="145" customFormat="false" ht="15" hidden="false" customHeight="true" outlineLevel="0" collapsed="false">
      <c r="A145" s="24"/>
      <c r="B145" s="39"/>
      <c r="C145" s="24"/>
      <c r="D145" s="24"/>
      <c r="E145" s="40"/>
      <c r="F145" s="29"/>
      <c r="G145" s="30"/>
      <c r="H145" s="17" t="str">
        <f aca="false">IF(A145="","",A145&amp;"|"&amp;COUNTIF(A$5:A145,A145))</f>
        <v/>
      </c>
      <c r="I145" s="33" t="str">
        <f aca="false">IF(A145="","",IFERROR(INDEX(Items!$B$5:$B$304,MATCH(D145,Items!$A$5:$A$304,0))&amp;"",""))</f>
        <v/>
      </c>
      <c r="J145" s="34" t="str">
        <f aca="false">IF(A145="","",IFERROR(INDEX(Items!$C$5:$C$304,MATCH(D145,Items!$A$5:$A$304,0))&amp;"",""))</f>
        <v/>
      </c>
      <c r="K145" s="35" t="n">
        <f aca="false">IF(A145="",0,IF(ISNUMBER(F145),F145,IFERROR(INDEX(Items!$D$5:$D$304,MATCH(D145,Items!$A$5:$A$304,0)),0)))</f>
        <v>0</v>
      </c>
      <c r="L145" s="35" t="n">
        <f aca="false">ROUND(N(E145)*K145*(1-N(G145)),2)</f>
        <v>0</v>
      </c>
      <c r="M145" s="36" t="n">
        <f aca="false">IF(A145="",0,IFERROR(INDEX(Items!$E$5:$E$304,MATCH(D145,Items!$A$5:$A$304,0)),0))</f>
        <v>0</v>
      </c>
      <c r="N145" s="37" t="str">
        <f aca="false">IF(A145="","",IFERROR(INDEX(Customers!$E$5:$E$204,MATCH(C145,Customers!$A$5:$A$204,0)),"?"))</f>
        <v/>
      </c>
      <c r="O145" s="38" t="str">
        <f aca="false">IF(A145="","",IF(N145=Settings!$B$17,"No","Yes"))</f>
        <v/>
      </c>
      <c r="P145" s="35" t="n">
        <f aca="false">IF(O145="Yes",ROUND(L145*M145,2),0)</f>
        <v>0</v>
      </c>
      <c r="Q145" s="35" t="n">
        <f aca="false">IF(O145="No",ROUND(L145*M145/2,2),0)</f>
        <v>0</v>
      </c>
      <c r="R145" s="35" t="n">
        <f aca="false">Q145</f>
        <v>0</v>
      </c>
      <c r="S145" s="35" t="n">
        <f aca="false">L145+P145+Q145+R145</f>
        <v>0</v>
      </c>
      <c r="T145" s="34" t="str">
        <f aca="false">IF(A145="","",IFERROR(INDEX(Customers!$B$5:$B$204,MATCH(C145,Customers!$A$5:$A$204,0))&amp;"",""))</f>
        <v/>
      </c>
      <c r="U145" s="38" t="str">
        <f aca="false">IF(A145="","",IF(T145&lt;&gt;"","B2B",IF(AND(O145="Yes",SUMIF($A$5:$A$1004,A145,$L$5:$L$1004)+SUMIF($A$5:$A$1004,A145,$P$5:$P$1004)&gt;100000),"B2CL","B2CS")))</f>
        <v/>
      </c>
      <c r="V145" s="17" t="str">
        <f aca="false">IF(A145="","",TEXT(B145,"mmm-yyyy"))</f>
        <v/>
      </c>
    </row>
    <row r="146" customFormat="false" ht="15" hidden="false" customHeight="true" outlineLevel="0" collapsed="false">
      <c r="A146" s="24"/>
      <c r="B146" s="39"/>
      <c r="C146" s="24"/>
      <c r="D146" s="24"/>
      <c r="E146" s="40"/>
      <c r="F146" s="29"/>
      <c r="G146" s="30"/>
      <c r="H146" s="17" t="str">
        <f aca="false">IF(A146="","",A146&amp;"|"&amp;COUNTIF(A$5:A146,A146))</f>
        <v/>
      </c>
      <c r="I146" s="33" t="str">
        <f aca="false">IF(A146="","",IFERROR(INDEX(Items!$B$5:$B$304,MATCH(D146,Items!$A$5:$A$304,0))&amp;"",""))</f>
        <v/>
      </c>
      <c r="J146" s="34" t="str">
        <f aca="false">IF(A146="","",IFERROR(INDEX(Items!$C$5:$C$304,MATCH(D146,Items!$A$5:$A$304,0))&amp;"",""))</f>
        <v/>
      </c>
      <c r="K146" s="35" t="n">
        <f aca="false">IF(A146="",0,IF(ISNUMBER(F146),F146,IFERROR(INDEX(Items!$D$5:$D$304,MATCH(D146,Items!$A$5:$A$304,0)),0)))</f>
        <v>0</v>
      </c>
      <c r="L146" s="35" t="n">
        <f aca="false">ROUND(N(E146)*K146*(1-N(G146)),2)</f>
        <v>0</v>
      </c>
      <c r="M146" s="36" t="n">
        <f aca="false">IF(A146="",0,IFERROR(INDEX(Items!$E$5:$E$304,MATCH(D146,Items!$A$5:$A$304,0)),0))</f>
        <v>0</v>
      </c>
      <c r="N146" s="37" t="str">
        <f aca="false">IF(A146="","",IFERROR(INDEX(Customers!$E$5:$E$204,MATCH(C146,Customers!$A$5:$A$204,0)),"?"))</f>
        <v/>
      </c>
      <c r="O146" s="38" t="str">
        <f aca="false">IF(A146="","",IF(N146=Settings!$B$17,"No","Yes"))</f>
        <v/>
      </c>
      <c r="P146" s="35" t="n">
        <f aca="false">IF(O146="Yes",ROUND(L146*M146,2),0)</f>
        <v>0</v>
      </c>
      <c r="Q146" s="35" t="n">
        <f aca="false">IF(O146="No",ROUND(L146*M146/2,2),0)</f>
        <v>0</v>
      </c>
      <c r="R146" s="35" t="n">
        <f aca="false">Q146</f>
        <v>0</v>
      </c>
      <c r="S146" s="35" t="n">
        <f aca="false">L146+P146+Q146+R146</f>
        <v>0</v>
      </c>
      <c r="T146" s="34" t="str">
        <f aca="false">IF(A146="","",IFERROR(INDEX(Customers!$B$5:$B$204,MATCH(C146,Customers!$A$5:$A$204,0))&amp;"",""))</f>
        <v/>
      </c>
      <c r="U146" s="38" t="str">
        <f aca="false">IF(A146="","",IF(T146&lt;&gt;"","B2B",IF(AND(O146="Yes",SUMIF($A$5:$A$1004,A146,$L$5:$L$1004)+SUMIF($A$5:$A$1004,A146,$P$5:$P$1004)&gt;100000),"B2CL","B2CS")))</f>
        <v/>
      </c>
      <c r="V146" s="17" t="str">
        <f aca="false">IF(A146="","",TEXT(B146,"mmm-yyyy"))</f>
        <v/>
      </c>
    </row>
    <row r="147" customFormat="false" ht="15" hidden="false" customHeight="true" outlineLevel="0" collapsed="false">
      <c r="A147" s="24"/>
      <c r="B147" s="39"/>
      <c r="C147" s="24"/>
      <c r="D147" s="24"/>
      <c r="E147" s="40"/>
      <c r="F147" s="29"/>
      <c r="G147" s="30"/>
      <c r="H147" s="17" t="str">
        <f aca="false">IF(A147="","",A147&amp;"|"&amp;COUNTIF(A$5:A147,A147))</f>
        <v/>
      </c>
      <c r="I147" s="33" t="str">
        <f aca="false">IF(A147="","",IFERROR(INDEX(Items!$B$5:$B$304,MATCH(D147,Items!$A$5:$A$304,0))&amp;"",""))</f>
        <v/>
      </c>
      <c r="J147" s="34" t="str">
        <f aca="false">IF(A147="","",IFERROR(INDEX(Items!$C$5:$C$304,MATCH(D147,Items!$A$5:$A$304,0))&amp;"",""))</f>
        <v/>
      </c>
      <c r="K147" s="35" t="n">
        <f aca="false">IF(A147="",0,IF(ISNUMBER(F147),F147,IFERROR(INDEX(Items!$D$5:$D$304,MATCH(D147,Items!$A$5:$A$304,0)),0)))</f>
        <v>0</v>
      </c>
      <c r="L147" s="35" t="n">
        <f aca="false">ROUND(N(E147)*K147*(1-N(G147)),2)</f>
        <v>0</v>
      </c>
      <c r="M147" s="36" t="n">
        <f aca="false">IF(A147="",0,IFERROR(INDEX(Items!$E$5:$E$304,MATCH(D147,Items!$A$5:$A$304,0)),0))</f>
        <v>0</v>
      </c>
      <c r="N147" s="37" t="str">
        <f aca="false">IF(A147="","",IFERROR(INDEX(Customers!$E$5:$E$204,MATCH(C147,Customers!$A$5:$A$204,0)),"?"))</f>
        <v/>
      </c>
      <c r="O147" s="38" t="str">
        <f aca="false">IF(A147="","",IF(N147=Settings!$B$17,"No","Yes"))</f>
        <v/>
      </c>
      <c r="P147" s="35" t="n">
        <f aca="false">IF(O147="Yes",ROUND(L147*M147,2),0)</f>
        <v>0</v>
      </c>
      <c r="Q147" s="35" t="n">
        <f aca="false">IF(O147="No",ROUND(L147*M147/2,2),0)</f>
        <v>0</v>
      </c>
      <c r="R147" s="35" t="n">
        <f aca="false">Q147</f>
        <v>0</v>
      </c>
      <c r="S147" s="35" t="n">
        <f aca="false">L147+P147+Q147+R147</f>
        <v>0</v>
      </c>
      <c r="T147" s="34" t="str">
        <f aca="false">IF(A147="","",IFERROR(INDEX(Customers!$B$5:$B$204,MATCH(C147,Customers!$A$5:$A$204,0))&amp;"",""))</f>
        <v/>
      </c>
      <c r="U147" s="38" t="str">
        <f aca="false">IF(A147="","",IF(T147&lt;&gt;"","B2B",IF(AND(O147="Yes",SUMIF($A$5:$A$1004,A147,$L$5:$L$1004)+SUMIF($A$5:$A$1004,A147,$P$5:$P$1004)&gt;100000),"B2CL","B2CS")))</f>
        <v/>
      </c>
      <c r="V147" s="17" t="str">
        <f aca="false">IF(A147="","",TEXT(B147,"mmm-yyyy"))</f>
        <v/>
      </c>
    </row>
    <row r="148" customFormat="false" ht="15" hidden="false" customHeight="true" outlineLevel="0" collapsed="false">
      <c r="A148" s="24"/>
      <c r="B148" s="39"/>
      <c r="C148" s="24"/>
      <c r="D148" s="24"/>
      <c r="E148" s="40"/>
      <c r="F148" s="29"/>
      <c r="G148" s="30"/>
      <c r="H148" s="17" t="str">
        <f aca="false">IF(A148="","",A148&amp;"|"&amp;COUNTIF(A$5:A148,A148))</f>
        <v/>
      </c>
      <c r="I148" s="33" t="str">
        <f aca="false">IF(A148="","",IFERROR(INDEX(Items!$B$5:$B$304,MATCH(D148,Items!$A$5:$A$304,0))&amp;"",""))</f>
        <v/>
      </c>
      <c r="J148" s="34" t="str">
        <f aca="false">IF(A148="","",IFERROR(INDEX(Items!$C$5:$C$304,MATCH(D148,Items!$A$5:$A$304,0))&amp;"",""))</f>
        <v/>
      </c>
      <c r="K148" s="35" t="n">
        <f aca="false">IF(A148="",0,IF(ISNUMBER(F148),F148,IFERROR(INDEX(Items!$D$5:$D$304,MATCH(D148,Items!$A$5:$A$304,0)),0)))</f>
        <v>0</v>
      </c>
      <c r="L148" s="35" t="n">
        <f aca="false">ROUND(N(E148)*K148*(1-N(G148)),2)</f>
        <v>0</v>
      </c>
      <c r="M148" s="36" t="n">
        <f aca="false">IF(A148="",0,IFERROR(INDEX(Items!$E$5:$E$304,MATCH(D148,Items!$A$5:$A$304,0)),0))</f>
        <v>0</v>
      </c>
      <c r="N148" s="37" t="str">
        <f aca="false">IF(A148="","",IFERROR(INDEX(Customers!$E$5:$E$204,MATCH(C148,Customers!$A$5:$A$204,0)),"?"))</f>
        <v/>
      </c>
      <c r="O148" s="38" t="str">
        <f aca="false">IF(A148="","",IF(N148=Settings!$B$17,"No","Yes"))</f>
        <v/>
      </c>
      <c r="P148" s="35" t="n">
        <f aca="false">IF(O148="Yes",ROUND(L148*M148,2),0)</f>
        <v>0</v>
      </c>
      <c r="Q148" s="35" t="n">
        <f aca="false">IF(O148="No",ROUND(L148*M148/2,2),0)</f>
        <v>0</v>
      </c>
      <c r="R148" s="35" t="n">
        <f aca="false">Q148</f>
        <v>0</v>
      </c>
      <c r="S148" s="35" t="n">
        <f aca="false">L148+P148+Q148+R148</f>
        <v>0</v>
      </c>
      <c r="T148" s="34" t="str">
        <f aca="false">IF(A148="","",IFERROR(INDEX(Customers!$B$5:$B$204,MATCH(C148,Customers!$A$5:$A$204,0))&amp;"",""))</f>
        <v/>
      </c>
      <c r="U148" s="38" t="str">
        <f aca="false">IF(A148="","",IF(T148&lt;&gt;"","B2B",IF(AND(O148="Yes",SUMIF($A$5:$A$1004,A148,$L$5:$L$1004)+SUMIF($A$5:$A$1004,A148,$P$5:$P$1004)&gt;100000),"B2CL","B2CS")))</f>
        <v/>
      </c>
      <c r="V148" s="17" t="str">
        <f aca="false">IF(A148="","",TEXT(B148,"mmm-yyyy"))</f>
        <v/>
      </c>
    </row>
    <row r="149" customFormat="false" ht="15" hidden="false" customHeight="true" outlineLevel="0" collapsed="false">
      <c r="A149" s="24"/>
      <c r="B149" s="39"/>
      <c r="C149" s="24"/>
      <c r="D149" s="24"/>
      <c r="E149" s="40"/>
      <c r="F149" s="29"/>
      <c r="G149" s="30"/>
      <c r="H149" s="17" t="str">
        <f aca="false">IF(A149="","",A149&amp;"|"&amp;COUNTIF(A$5:A149,A149))</f>
        <v/>
      </c>
      <c r="I149" s="33" t="str">
        <f aca="false">IF(A149="","",IFERROR(INDEX(Items!$B$5:$B$304,MATCH(D149,Items!$A$5:$A$304,0))&amp;"",""))</f>
        <v/>
      </c>
      <c r="J149" s="34" t="str">
        <f aca="false">IF(A149="","",IFERROR(INDEX(Items!$C$5:$C$304,MATCH(D149,Items!$A$5:$A$304,0))&amp;"",""))</f>
        <v/>
      </c>
      <c r="K149" s="35" t="n">
        <f aca="false">IF(A149="",0,IF(ISNUMBER(F149),F149,IFERROR(INDEX(Items!$D$5:$D$304,MATCH(D149,Items!$A$5:$A$304,0)),0)))</f>
        <v>0</v>
      </c>
      <c r="L149" s="35" t="n">
        <f aca="false">ROUND(N(E149)*K149*(1-N(G149)),2)</f>
        <v>0</v>
      </c>
      <c r="M149" s="36" t="n">
        <f aca="false">IF(A149="",0,IFERROR(INDEX(Items!$E$5:$E$304,MATCH(D149,Items!$A$5:$A$304,0)),0))</f>
        <v>0</v>
      </c>
      <c r="N149" s="37" t="str">
        <f aca="false">IF(A149="","",IFERROR(INDEX(Customers!$E$5:$E$204,MATCH(C149,Customers!$A$5:$A$204,0)),"?"))</f>
        <v/>
      </c>
      <c r="O149" s="38" t="str">
        <f aca="false">IF(A149="","",IF(N149=Settings!$B$17,"No","Yes"))</f>
        <v/>
      </c>
      <c r="P149" s="35" t="n">
        <f aca="false">IF(O149="Yes",ROUND(L149*M149,2),0)</f>
        <v>0</v>
      </c>
      <c r="Q149" s="35" t="n">
        <f aca="false">IF(O149="No",ROUND(L149*M149/2,2),0)</f>
        <v>0</v>
      </c>
      <c r="R149" s="35" t="n">
        <f aca="false">Q149</f>
        <v>0</v>
      </c>
      <c r="S149" s="35" t="n">
        <f aca="false">L149+P149+Q149+R149</f>
        <v>0</v>
      </c>
      <c r="T149" s="34" t="str">
        <f aca="false">IF(A149="","",IFERROR(INDEX(Customers!$B$5:$B$204,MATCH(C149,Customers!$A$5:$A$204,0))&amp;"",""))</f>
        <v/>
      </c>
      <c r="U149" s="38" t="str">
        <f aca="false">IF(A149="","",IF(T149&lt;&gt;"","B2B",IF(AND(O149="Yes",SUMIF($A$5:$A$1004,A149,$L$5:$L$1004)+SUMIF($A$5:$A$1004,A149,$P$5:$P$1004)&gt;100000),"B2CL","B2CS")))</f>
        <v/>
      </c>
      <c r="V149" s="17" t="str">
        <f aca="false">IF(A149="","",TEXT(B149,"mmm-yyyy"))</f>
        <v/>
      </c>
    </row>
    <row r="150" customFormat="false" ht="15" hidden="false" customHeight="true" outlineLevel="0" collapsed="false">
      <c r="A150" s="24"/>
      <c r="B150" s="39"/>
      <c r="C150" s="24"/>
      <c r="D150" s="24"/>
      <c r="E150" s="40"/>
      <c r="F150" s="29"/>
      <c r="G150" s="30"/>
      <c r="H150" s="17" t="str">
        <f aca="false">IF(A150="","",A150&amp;"|"&amp;COUNTIF(A$5:A150,A150))</f>
        <v/>
      </c>
      <c r="I150" s="33" t="str">
        <f aca="false">IF(A150="","",IFERROR(INDEX(Items!$B$5:$B$304,MATCH(D150,Items!$A$5:$A$304,0))&amp;"",""))</f>
        <v/>
      </c>
      <c r="J150" s="34" t="str">
        <f aca="false">IF(A150="","",IFERROR(INDEX(Items!$C$5:$C$304,MATCH(D150,Items!$A$5:$A$304,0))&amp;"",""))</f>
        <v/>
      </c>
      <c r="K150" s="35" t="n">
        <f aca="false">IF(A150="",0,IF(ISNUMBER(F150),F150,IFERROR(INDEX(Items!$D$5:$D$304,MATCH(D150,Items!$A$5:$A$304,0)),0)))</f>
        <v>0</v>
      </c>
      <c r="L150" s="35" t="n">
        <f aca="false">ROUND(N(E150)*K150*(1-N(G150)),2)</f>
        <v>0</v>
      </c>
      <c r="M150" s="36" t="n">
        <f aca="false">IF(A150="",0,IFERROR(INDEX(Items!$E$5:$E$304,MATCH(D150,Items!$A$5:$A$304,0)),0))</f>
        <v>0</v>
      </c>
      <c r="N150" s="37" t="str">
        <f aca="false">IF(A150="","",IFERROR(INDEX(Customers!$E$5:$E$204,MATCH(C150,Customers!$A$5:$A$204,0)),"?"))</f>
        <v/>
      </c>
      <c r="O150" s="38" t="str">
        <f aca="false">IF(A150="","",IF(N150=Settings!$B$17,"No","Yes"))</f>
        <v/>
      </c>
      <c r="P150" s="35" t="n">
        <f aca="false">IF(O150="Yes",ROUND(L150*M150,2),0)</f>
        <v>0</v>
      </c>
      <c r="Q150" s="35" t="n">
        <f aca="false">IF(O150="No",ROUND(L150*M150/2,2),0)</f>
        <v>0</v>
      </c>
      <c r="R150" s="35" t="n">
        <f aca="false">Q150</f>
        <v>0</v>
      </c>
      <c r="S150" s="35" t="n">
        <f aca="false">L150+P150+Q150+R150</f>
        <v>0</v>
      </c>
      <c r="T150" s="34" t="str">
        <f aca="false">IF(A150="","",IFERROR(INDEX(Customers!$B$5:$B$204,MATCH(C150,Customers!$A$5:$A$204,0))&amp;"",""))</f>
        <v/>
      </c>
      <c r="U150" s="38" t="str">
        <f aca="false">IF(A150="","",IF(T150&lt;&gt;"","B2B",IF(AND(O150="Yes",SUMIF($A$5:$A$1004,A150,$L$5:$L$1004)+SUMIF($A$5:$A$1004,A150,$P$5:$P$1004)&gt;100000),"B2CL","B2CS")))</f>
        <v/>
      </c>
      <c r="V150" s="17" t="str">
        <f aca="false">IF(A150="","",TEXT(B150,"mmm-yyyy"))</f>
        <v/>
      </c>
    </row>
    <row r="151" customFormat="false" ht="15" hidden="false" customHeight="true" outlineLevel="0" collapsed="false">
      <c r="A151" s="24"/>
      <c r="B151" s="39"/>
      <c r="C151" s="24"/>
      <c r="D151" s="24"/>
      <c r="E151" s="40"/>
      <c r="F151" s="29"/>
      <c r="G151" s="30"/>
      <c r="H151" s="17" t="str">
        <f aca="false">IF(A151="","",A151&amp;"|"&amp;COUNTIF(A$5:A151,A151))</f>
        <v/>
      </c>
      <c r="I151" s="33" t="str">
        <f aca="false">IF(A151="","",IFERROR(INDEX(Items!$B$5:$B$304,MATCH(D151,Items!$A$5:$A$304,0))&amp;"",""))</f>
        <v/>
      </c>
      <c r="J151" s="34" t="str">
        <f aca="false">IF(A151="","",IFERROR(INDEX(Items!$C$5:$C$304,MATCH(D151,Items!$A$5:$A$304,0))&amp;"",""))</f>
        <v/>
      </c>
      <c r="K151" s="35" t="n">
        <f aca="false">IF(A151="",0,IF(ISNUMBER(F151),F151,IFERROR(INDEX(Items!$D$5:$D$304,MATCH(D151,Items!$A$5:$A$304,0)),0)))</f>
        <v>0</v>
      </c>
      <c r="L151" s="35" t="n">
        <f aca="false">ROUND(N(E151)*K151*(1-N(G151)),2)</f>
        <v>0</v>
      </c>
      <c r="M151" s="36" t="n">
        <f aca="false">IF(A151="",0,IFERROR(INDEX(Items!$E$5:$E$304,MATCH(D151,Items!$A$5:$A$304,0)),0))</f>
        <v>0</v>
      </c>
      <c r="N151" s="37" t="str">
        <f aca="false">IF(A151="","",IFERROR(INDEX(Customers!$E$5:$E$204,MATCH(C151,Customers!$A$5:$A$204,0)),"?"))</f>
        <v/>
      </c>
      <c r="O151" s="38" t="str">
        <f aca="false">IF(A151="","",IF(N151=Settings!$B$17,"No","Yes"))</f>
        <v/>
      </c>
      <c r="P151" s="35" t="n">
        <f aca="false">IF(O151="Yes",ROUND(L151*M151,2),0)</f>
        <v>0</v>
      </c>
      <c r="Q151" s="35" t="n">
        <f aca="false">IF(O151="No",ROUND(L151*M151/2,2),0)</f>
        <v>0</v>
      </c>
      <c r="R151" s="35" t="n">
        <f aca="false">Q151</f>
        <v>0</v>
      </c>
      <c r="S151" s="35" t="n">
        <f aca="false">L151+P151+Q151+R151</f>
        <v>0</v>
      </c>
      <c r="T151" s="34" t="str">
        <f aca="false">IF(A151="","",IFERROR(INDEX(Customers!$B$5:$B$204,MATCH(C151,Customers!$A$5:$A$204,0))&amp;"",""))</f>
        <v/>
      </c>
      <c r="U151" s="38" t="str">
        <f aca="false">IF(A151="","",IF(T151&lt;&gt;"","B2B",IF(AND(O151="Yes",SUMIF($A$5:$A$1004,A151,$L$5:$L$1004)+SUMIF($A$5:$A$1004,A151,$P$5:$P$1004)&gt;100000),"B2CL","B2CS")))</f>
        <v/>
      </c>
      <c r="V151" s="17" t="str">
        <f aca="false">IF(A151="","",TEXT(B151,"mmm-yyyy"))</f>
        <v/>
      </c>
    </row>
    <row r="152" customFormat="false" ht="15" hidden="false" customHeight="true" outlineLevel="0" collapsed="false">
      <c r="A152" s="24"/>
      <c r="B152" s="39"/>
      <c r="C152" s="24"/>
      <c r="D152" s="24"/>
      <c r="E152" s="40"/>
      <c r="F152" s="29"/>
      <c r="G152" s="30"/>
      <c r="H152" s="17" t="str">
        <f aca="false">IF(A152="","",A152&amp;"|"&amp;COUNTIF(A$5:A152,A152))</f>
        <v/>
      </c>
      <c r="I152" s="33" t="str">
        <f aca="false">IF(A152="","",IFERROR(INDEX(Items!$B$5:$B$304,MATCH(D152,Items!$A$5:$A$304,0))&amp;"",""))</f>
        <v/>
      </c>
      <c r="J152" s="34" t="str">
        <f aca="false">IF(A152="","",IFERROR(INDEX(Items!$C$5:$C$304,MATCH(D152,Items!$A$5:$A$304,0))&amp;"",""))</f>
        <v/>
      </c>
      <c r="K152" s="35" t="n">
        <f aca="false">IF(A152="",0,IF(ISNUMBER(F152),F152,IFERROR(INDEX(Items!$D$5:$D$304,MATCH(D152,Items!$A$5:$A$304,0)),0)))</f>
        <v>0</v>
      </c>
      <c r="L152" s="35" t="n">
        <f aca="false">ROUND(N(E152)*K152*(1-N(G152)),2)</f>
        <v>0</v>
      </c>
      <c r="M152" s="36" t="n">
        <f aca="false">IF(A152="",0,IFERROR(INDEX(Items!$E$5:$E$304,MATCH(D152,Items!$A$5:$A$304,0)),0))</f>
        <v>0</v>
      </c>
      <c r="N152" s="37" t="str">
        <f aca="false">IF(A152="","",IFERROR(INDEX(Customers!$E$5:$E$204,MATCH(C152,Customers!$A$5:$A$204,0)),"?"))</f>
        <v/>
      </c>
      <c r="O152" s="38" t="str">
        <f aca="false">IF(A152="","",IF(N152=Settings!$B$17,"No","Yes"))</f>
        <v/>
      </c>
      <c r="P152" s="35" t="n">
        <f aca="false">IF(O152="Yes",ROUND(L152*M152,2),0)</f>
        <v>0</v>
      </c>
      <c r="Q152" s="35" t="n">
        <f aca="false">IF(O152="No",ROUND(L152*M152/2,2),0)</f>
        <v>0</v>
      </c>
      <c r="R152" s="35" t="n">
        <f aca="false">Q152</f>
        <v>0</v>
      </c>
      <c r="S152" s="35" t="n">
        <f aca="false">L152+P152+Q152+R152</f>
        <v>0</v>
      </c>
      <c r="T152" s="34" t="str">
        <f aca="false">IF(A152="","",IFERROR(INDEX(Customers!$B$5:$B$204,MATCH(C152,Customers!$A$5:$A$204,0))&amp;"",""))</f>
        <v/>
      </c>
      <c r="U152" s="38" t="str">
        <f aca="false">IF(A152="","",IF(T152&lt;&gt;"","B2B",IF(AND(O152="Yes",SUMIF($A$5:$A$1004,A152,$L$5:$L$1004)+SUMIF($A$5:$A$1004,A152,$P$5:$P$1004)&gt;100000),"B2CL","B2CS")))</f>
        <v/>
      </c>
      <c r="V152" s="17" t="str">
        <f aca="false">IF(A152="","",TEXT(B152,"mmm-yyyy"))</f>
        <v/>
      </c>
    </row>
    <row r="153" customFormat="false" ht="15" hidden="false" customHeight="true" outlineLevel="0" collapsed="false">
      <c r="A153" s="24"/>
      <c r="B153" s="39"/>
      <c r="C153" s="24"/>
      <c r="D153" s="24"/>
      <c r="E153" s="40"/>
      <c r="F153" s="29"/>
      <c r="G153" s="30"/>
      <c r="H153" s="17" t="str">
        <f aca="false">IF(A153="","",A153&amp;"|"&amp;COUNTIF(A$5:A153,A153))</f>
        <v/>
      </c>
      <c r="I153" s="33" t="str">
        <f aca="false">IF(A153="","",IFERROR(INDEX(Items!$B$5:$B$304,MATCH(D153,Items!$A$5:$A$304,0))&amp;"",""))</f>
        <v/>
      </c>
      <c r="J153" s="34" t="str">
        <f aca="false">IF(A153="","",IFERROR(INDEX(Items!$C$5:$C$304,MATCH(D153,Items!$A$5:$A$304,0))&amp;"",""))</f>
        <v/>
      </c>
      <c r="K153" s="35" t="n">
        <f aca="false">IF(A153="",0,IF(ISNUMBER(F153),F153,IFERROR(INDEX(Items!$D$5:$D$304,MATCH(D153,Items!$A$5:$A$304,0)),0)))</f>
        <v>0</v>
      </c>
      <c r="L153" s="35" t="n">
        <f aca="false">ROUND(N(E153)*K153*(1-N(G153)),2)</f>
        <v>0</v>
      </c>
      <c r="M153" s="36" t="n">
        <f aca="false">IF(A153="",0,IFERROR(INDEX(Items!$E$5:$E$304,MATCH(D153,Items!$A$5:$A$304,0)),0))</f>
        <v>0</v>
      </c>
      <c r="N153" s="37" t="str">
        <f aca="false">IF(A153="","",IFERROR(INDEX(Customers!$E$5:$E$204,MATCH(C153,Customers!$A$5:$A$204,0)),"?"))</f>
        <v/>
      </c>
      <c r="O153" s="38" t="str">
        <f aca="false">IF(A153="","",IF(N153=Settings!$B$17,"No","Yes"))</f>
        <v/>
      </c>
      <c r="P153" s="35" t="n">
        <f aca="false">IF(O153="Yes",ROUND(L153*M153,2),0)</f>
        <v>0</v>
      </c>
      <c r="Q153" s="35" t="n">
        <f aca="false">IF(O153="No",ROUND(L153*M153/2,2),0)</f>
        <v>0</v>
      </c>
      <c r="R153" s="35" t="n">
        <f aca="false">Q153</f>
        <v>0</v>
      </c>
      <c r="S153" s="35" t="n">
        <f aca="false">L153+P153+Q153+R153</f>
        <v>0</v>
      </c>
      <c r="T153" s="34" t="str">
        <f aca="false">IF(A153="","",IFERROR(INDEX(Customers!$B$5:$B$204,MATCH(C153,Customers!$A$5:$A$204,0))&amp;"",""))</f>
        <v/>
      </c>
      <c r="U153" s="38" t="str">
        <f aca="false">IF(A153="","",IF(T153&lt;&gt;"","B2B",IF(AND(O153="Yes",SUMIF($A$5:$A$1004,A153,$L$5:$L$1004)+SUMIF($A$5:$A$1004,A153,$P$5:$P$1004)&gt;100000),"B2CL","B2CS")))</f>
        <v/>
      </c>
      <c r="V153" s="17" t="str">
        <f aca="false">IF(A153="","",TEXT(B153,"mmm-yyyy"))</f>
        <v/>
      </c>
    </row>
    <row r="154" customFormat="false" ht="15" hidden="false" customHeight="true" outlineLevel="0" collapsed="false">
      <c r="A154" s="24"/>
      <c r="B154" s="39"/>
      <c r="C154" s="24"/>
      <c r="D154" s="24"/>
      <c r="E154" s="40"/>
      <c r="F154" s="29"/>
      <c r="G154" s="30"/>
      <c r="H154" s="17" t="str">
        <f aca="false">IF(A154="","",A154&amp;"|"&amp;COUNTIF(A$5:A154,A154))</f>
        <v/>
      </c>
      <c r="I154" s="33" t="str">
        <f aca="false">IF(A154="","",IFERROR(INDEX(Items!$B$5:$B$304,MATCH(D154,Items!$A$5:$A$304,0))&amp;"",""))</f>
        <v/>
      </c>
      <c r="J154" s="34" t="str">
        <f aca="false">IF(A154="","",IFERROR(INDEX(Items!$C$5:$C$304,MATCH(D154,Items!$A$5:$A$304,0))&amp;"",""))</f>
        <v/>
      </c>
      <c r="K154" s="35" t="n">
        <f aca="false">IF(A154="",0,IF(ISNUMBER(F154),F154,IFERROR(INDEX(Items!$D$5:$D$304,MATCH(D154,Items!$A$5:$A$304,0)),0)))</f>
        <v>0</v>
      </c>
      <c r="L154" s="35" t="n">
        <f aca="false">ROUND(N(E154)*K154*(1-N(G154)),2)</f>
        <v>0</v>
      </c>
      <c r="M154" s="36" t="n">
        <f aca="false">IF(A154="",0,IFERROR(INDEX(Items!$E$5:$E$304,MATCH(D154,Items!$A$5:$A$304,0)),0))</f>
        <v>0</v>
      </c>
      <c r="N154" s="37" t="str">
        <f aca="false">IF(A154="","",IFERROR(INDEX(Customers!$E$5:$E$204,MATCH(C154,Customers!$A$5:$A$204,0)),"?"))</f>
        <v/>
      </c>
      <c r="O154" s="38" t="str">
        <f aca="false">IF(A154="","",IF(N154=Settings!$B$17,"No","Yes"))</f>
        <v/>
      </c>
      <c r="P154" s="35" t="n">
        <f aca="false">IF(O154="Yes",ROUND(L154*M154,2),0)</f>
        <v>0</v>
      </c>
      <c r="Q154" s="35" t="n">
        <f aca="false">IF(O154="No",ROUND(L154*M154/2,2),0)</f>
        <v>0</v>
      </c>
      <c r="R154" s="35" t="n">
        <f aca="false">Q154</f>
        <v>0</v>
      </c>
      <c r="S154" s="35" t="n">
        <f aca="false">L154+P154+Q154+R154</f>
        <v>0</v>
      </c>
      <c r="T154" s="34" t="str">
        <f aca="false">IF(A154="","",IFERROR(INDEX(Customers!$B$5:$B$204,MATCH(C154,Customers!$A$5:$A$204,0))&amp;"",""))</f>
        <v/>
      </c>
      <c r="U154" s="38" t="str">
        <f aca="false">IF(A154="","",IF(T154&lt;&gt;"","B2B",IF(AND(O154="Yes",SUMIF($A$5:$A$1004,A154,$L$5:$L$1004)+SUMIF($A$5:$A$1004,A154,$P$5:$P$1004)&gt;100000),"B2CL","B2CS")))</f>
        <v/>
      </c>
      <c r="V154" s="17" t="str">
        <f aca="false">IF(A154="","",TEXT(B154,"mmm-yyyy"))</f>
        <v/>
      </c>
    </row>
    <row r="155" customFormat="false" ht="15" hidden="false" customHeight="true" outlineLevel="0" collapsed="false">
      <c r="A155" s="24"/>
      <c r="B155" s="39"/>
      <c r="C155" s="24"/>
      <c r="D155" s="24"/>
      <c r="E155" s="40"/>
      <c r="F155" s="29"/>
      <c r="G155" s="30"/>
      <c r="H155" s="17" t="str">
        <f aca="false">IF(A155="","",A155&amp;"|"&amp;COUNTIF(A$5:A155,A155))</f>
        <v/>
      </c>
      <c r="I155" s="33" t="str">
        <f aca="false">IF(A155="","",IFERROR(INDEX(Items!$B$5:$B$304,MATCH(D155,Items!$A$5:$A$304,0))&amp;"",""))</f>
        <v/>
      </c>
      <c r="J155" s="34" t="str">
        <f aca="false">IF(A155="","",IFERROR(INDEX(Items!$C$5:$C$304,MATCH(D155,Items!$A$5:$A$304,0))&amp;"",""))</f>
        <v/>
      </c>
      <c r="K155" s="35" t="n">
        <f aca="false">IF(A155="",0,IF(ISNUMBER(F155),F155,IFERROR(INDEX(Items!$D$5:$D$304,MATCH(D155,Items!$A$5:$A$304,0)),0)))</f>
        <v>0</v>
      </c>
      <c r="L155" s="35" t="n">
        <f aca="false">ROUND(N(E155)*K155*(1-N(G155)),2)</f>
        <v>0</v>
      </c>
      <c r="M155" s="36" t="n">
        <f aca="false">IF(A155="",0,IFERROR(INDEX(Items!$E$5:$E$304,MATCH(D155,Items!$A$5:$A$304,0)),0))</f>
        <v>0</v>
      </c>
      <c r="N155" s="37" t="str">
        <f aca="false">IF(A155="","",IFERROR(INDEX(Customers!$E$5:$E$204,MATCH(C155,Customers!$A$5:$A$204,0)),"?"))</f>
        <v/>
      </c>
      <c r="O155" s="38" t="str">
        <f aca="false">IF(A155="","",IF(N155=Settings!$B$17,"No","Yes"))</f>
        <v/>
      </c>
      <c r="P155" s="35" t="n">
        <f aca="false">IF(O155="Yes",ROUND(L155*M155,2),0)</f>
        <v>0</v>
      </c>
      <c r="Q155" s="35" t="n">
        <f aca="false">IF(O155="No",ROUND(L155*M155/2,2),0)</f>
        <v>0</v>
      </c>
      <c r="R155" s="35" t="n">
        <f aca="false">Q155</f>
        <v>0</v>
      </c>
      <c r="S155" s="35" t="n">
        <f aca="false">L155+P155+Q155+R155</f>
        <v>0</v>
      </c>
      <c r="T155" s="34" t="str">
        <f aca="false">IF(A155="","",IFERROR(INDEX(Customers!$B$5:$B$204,MATCH(C155,Customers!$A$5:$A$204,0))&amp;"",""))</f>
        <v/>
      </c>
      <c r="U155" s="38" t="str">
        <f aca="false">IF(A155="","",IF(T155&lt;&gt;"","B2B",IF(AND(O155="Yes",SUMIF($A$5:$A$1004,A155,$L$5:$L$1004)+SUMIF($A$5:$A$1004,A155,$P$5:$P$1004)&gt;100000),"B2CL","B2CS")))</f>
        <v/>
      </c>
      <c r="V155" s="17" t="str">
        <f aca="false">IF(A155="","",TEXT(B155,"mmm-yyyy"))</f>
        <v/>
      </c>
    </row>
    <row r="156" customFormat="false" ht="15" hidden="false" customHeight="true" outlineLevel="0" collapsed="false">
      <c r="A156" s="24"/>
      <c r="B156" s="39"/>
      <c r="C156" s="24"/>
      <c r="D156" s="24"/>
      <c r="E156" s="40"/>
      <c r="F156" s="29"/>
      <c r="G156" s="30"/>
      <c r="H156" s="17" t="str">
        <f aca="false">IF(A156="","",A156&amp;"|"&amp;COUNTIF(A$5:A156,A156))</f>
        <v/>
      </c>
      <c r="I156" s="33" t="str">
        <f aca="false">IF(A156="","",IFERROR(INDEX(Items!$B$5:$B$304,MATCH(D156,Items!$A$5:$A$304,0))&amp;"",""))</f>
        <v/>
      </c>
      <c r="J156" s="34" t="str">
        <f aca="false">IF(A156="","",IFERROR(INDEX(Items!$C$5:$C$304,MATCH(D156,Items!$A$5:$A$304,0))&amp;"",""))</f>
        <v/>
      </c>
      <c r="K156" s="35" t="n">
        <f aca="false">IF(A156="",0,IF(ISNUMBER(F156),F156,IFERROR(INDEX(Items!$D$5:$D$304,MATCH(D156,Items!$A$5:$A$304,0)),0)))</f>
        <v>0</v>
      </c>
      <c r="L156" s="35" t="n">
        <f aca="false">ROUND(N(E156)*K156*(1-N(G156)),2)</f>
        <v>0</v>
      </c>
      <c r="M156" s="36" t="n">
        <f aca="false">IF(A156="",0,IFERROR(INDEX(Items!$E$5:$E$304,MATCH(D156,Items!$A$5:$A$304,0)),0))</f>
        <v>0</v>
      </c>
      <c r="N156" s="37" t="str">
        <f aca="false">IF(A156="","",IFERROR(INDEX(Customers!$E$5:$E$204,MATCH(C156,Customers!$A$5:$A$204,0)),"?"))</f>
        <v/>
      </c>
      <c r="O156" s="38" t="str">
        <f aca="false">IF(A156="","",IF(N156=Settings!$B$17,"No","Yes"))</f>
        <v/>
      </c>
      <c r="P156" s="35" t="n">
        <f aca="false">IF(O156="Yes",ROUND(L156*M156,2),0)</f>
        <v>0</v>
      </c>
      <c r="Q156" s="35" t="n">
        <f aca="false">IF(O156="No",ROUND(L156*M156/2,2),0)</f>
        <v>0</v>
      </c>
      <c r="R156" s="35" t="n">
        <f aca="false">Q156</f>
        <v>0</v>
      </c>
      <c r="S156" s="35" t="n">
        <f aca="false">L156+P156+Q156+R156</f>
        <v>0</v>
      </c>
      <c r="T156" s="34" t="str">
        <f aca="false">IF(A156="","",IFERROR(INDEX(Customers!$B$5:$B$204,MATCH(C156,Customers!$A$5:$A$204,0))&amp;"",""))</f>
        <v/>
      </c>
      <c r="U156" s="38" t="str">
        <f aca="false">IF(A156="","",IF(T156&lt;&gt;"","B2B",IF(AND(O156="Yes",SUMIF($A$5:$A$1004,A156,$L$5:$L$1004)+SUMIF($A$5:$A$1004,A156,$P$5:$P$1004)&gt;100000),"B2CL","B2CS")))</f>
        <v/>
      </c>
      <c r="V156" s="17" t="str">
        <f aca="false">IF(A156="","",TEXT(B156,"mmm-yyyy"))</f>
        <v/>
      </c>
    </row>
    <row r="157" customFormat="false" ht="15" hidden="false" customHeight="true" outlineLevel="0" collapsed="false">
      <c r="A157" s="24"/>
      <c r="B157" s="39"/>
      <c r="C157" s="24"/>
      <c r="D157" s="24"/>
      <c r="E157" s="40"/>
      <c r="F157" s="29"/>
      <c r="G157" s="30"/>
      <c r="H157" s="17" t="str">
        <f aca="false">IF(A157="","",A157&amp;"|"&amp;COUNTIF(A$5:A157,A157))</f>
        <v/>
      </c>
      <c r="I157" s="33" t="str">
        <f aca="false">IF(A157="","",IFERROR(INDEX(Items!$B$5:$B$304,MATCH(D157,Items!$A$5:$A$304,0))&amp;"",""))</f>
        <v/>
      </c>
      <c r="J157" s="34" t="str">
        <f aca="false">IF(A157="","",IFERROR(INDEX(Items!$C$5:$C$304,MATCH(D157,Items!$A$5:$A$304,0))&amp;"",""))</f>
        <v/>
      </c>
      <c r="K157" s="35" t="n">
        <f aca="false">IF(A157="",0,IF(ISNUMBER(F157),F157,IFERROR(INDEX(Items!$D$5:$D$304,MATCH(D157,Items!$A$5:$A$304,0)),0)))</f>
        <v>0</v>
      </c>
      <c r="L157" s="35" t="n">
        <f aca="false">ROUND(N(E157)*K157*(1-N(G157)),2)</f>
        <v>0</v>
      </c>
      <c r="M157" s="36" t="n">
        <f aca="false">IF(A157="",0,IFERROR(INDEX(Items!$E$5:$E$304,MATCH(D157,Items!$A$5:$A$304,0)),0))</f>
        <v>0</v>
      </c>
      <c r="N157" s="37" t="str">
        <f aca="false">IF(A157="","",IFERROR(INDEX(Customers!$E$5:$E$204,MATCH(C157,Customers!$A$5:$A$204,0)),"?"))</f>
        <v/>
      </c>
      <c r="O157" s="38" t="str">
        <f aca="false">IF(A157="","",IF(N157=Settings!$B$17,"No","Yes"))</f>
        <v/>
      </c>
      <c r="P157" s="35" t="n">
        <f aca="false">IF(O157="Yes",ROUND(L157*M157,2),0)</f>
        <v>0</v>
      </c>
      <c r="Q157" s="35" t="n">
        <f aca="false">IF(O157="No",ROUND(L157*M157/2,2),0)</f>
        <v>0</v>
      </c>
      <c r="R157" s="35" t="n">
        <f aca="false">Q157</f>
        <v>0</v>
      </c>
      <c r="S157" s="35" t="n">
        <f aca="false">L157+P157+Q157+R157</f>
        <v>0</v>
      </c>
      <c r="T157" s="34" t="str">
        <f aca="false">IF(A157="","",IFERROR(INDEX(Customers!$B$5:$B$204,MATCH(C157,Customers!$A$5:$A$204,0))&amp;"",""))</f>
        <v/>
      </c>
      <c r="U157" s="38" t="str">
        <f aca="false">IF(A157="","",IF(T157&lt;&gt;"","B2B",IF(AND(O157="Yes",SUMIF($A$5:$A$1004,A157,$L$5:$L$1004)+SUMIF($A$5:$A$1004,A157,$P$5:$P$1004)&gt;100000),"B2CL","B2CS")))</f>
        <v/>
      </c>
      <c r="V157" s="17" t="str">
        <f aca="false">IF(A157="","",TEXT(B157,"mmm-yyyy"))</f>
        <v/>
      </c>
    </row>
    <row r="158" customFormat="false" ht="15" hidden="false" customHeight="true" outlineLevel="0" collapsed="false">
      <c r="A158" s="24"/>
      <c r="B158" s="39"/>
      <c r="C158" s="24"/>
      <c r="D158" s="24"/>
      <c r="E158" s="40"/>
      <c r="F158" s="29"/>
      <c r="G158" s="30"/>
      <c r="H158" s="17" t="str">
        <f aca="false">IF(A158="","",A158&amp;"|"&amp;COUNTIF(A$5:A158,A158))</f>
        <v/>
      </c>
      <c r="I158" s="33" t="str">
        <f aca="false">IF(A158="","",IFERROR(INDEX(Items!$B$5:$B$304,MATCH(D158,Items!$A$5:$A$304,0))&amp;"",""))</f>
        <v/>
      </c>
      <c r="J158" s="34" t="str">
        <f aca="false">IF(A158="","",IFERROR(INDEX(Items!$C$5:$C$304,MATCH(D158,Items!$A$5:$A$304,0))&amp;"",""))</f>
        <v/>
      </c>
      <c r="K158" s="35" t="n">
        <f aca="false">IF(A158="",0,IF(ISNUMBER(F158),F158,IFERROR(INDEX(Items!$D$5:$D$304,MATCH(D158,Items!$A$5:$A$304,0)),0)))</f>
        <v>0</v>
      </c>
      <c r="L158" s="35" t="n">
        <f aca="false">ROUND(N(E158)*K158*(1-N(G158)),2)</f>
        <v>0</v>
      </c>
      <c r="M158" s="36" t="n">
        <f aca="false">IF(A158="",0,IFERROR(INDEX(Items!$E$5:$E$304,MATCH(D158,Items!$A$5:$A$304,0)),0))</f>
        <v>0</v>
      </c>
      <c r="N158" s="37" t="str">
        <f aca="false">IF(A158="","",IFERROR(INDEX(Customers!$E$5:$E$204,MATCH(C158,Customers!$A$5:$A$204,0)),"?"))</f>
        <v/>
      </c>
      <c r="O158" s="38" t="str">
        <f aca="false">IF(A158="","",IF(N158=Settings!$B$17,"No","Yes"))</f>
        <v/>
      </c>
      <c r="P158" s="35" t="n">
        <f aca="false">IF(O158="Yes",ROUND(L158*M158,2),0)</f>
        <v>0</v>
      </c>
      <c r="Q158" s="35" t="n">
        <f aca="false">IF(O158="No",ROUND(L158*M158/2,2),0)</f>
        <v>0</v>
      </c>
      <c r="R158" s="35" t="n">
        <f aca="false">Q158</f>
        <v>0</v>
      </c>
      <c r="S158" s="35" t="n">
        <f aca="false">L158+P158+Q158+R158</f>
        <v>0</v>
      </c>
      <c r="T158" s="34" t="str">
        <f aca="false">IF(A158="","",IFERROR(INDEX(Customers!$B$5:$B$204,MATCH(C158,Customers!$A$5:$A$204,0))&amp;"",""))</f>
        <v/>
      </c>
      <c r="U158" s="38" t="str">
        <f aca="false">IF(A158="","",IF(T158&lt;&gt;"","B2B",IF(AND(O158="Yes",SUMIF($A$5:$A$1004,A158,$L$5:$L$1004)+SUMIF($A$5:$A$1004,A158,$P$5:$P$1004)&gt;100000),"B2CL","B2CS")))</f>
        <v/>
      </c>
      <c r="V158" s="17" t="str">
        <f aca="false">IF(A158="","",TEXT(B158,"mmm-yyyy"))</f>
        <v/>
      </c>
    </row>
    <row r="159" customFormat="false" ht="15" hidden="false" customHeight="true" outlineLevel="0" collapsed="false">
      <c r="A159" s="24"/>
      <c r="B159" s="39"/>
      <c r="C159" s="24"/>
      <c r="D159" s="24"/>
      <c r="E159" s="40"/>
      <c r="F159" s="29"/>
      <c r="G159" s="30"/>
      <c r="H159" s="17" t="str">
        <f aca="false">IF(A159="","",A159&amp;"|"&amp;COUNTIF(A$5:A159,A159))</f>
        <v/>
      </c>
      <c r="I159" s="33" t="str">
        <f aca="false">IF(A159="","",IFERROR(INDEX(Items!$B$5:$B$304,MATCH(D159,Items!$A$5:$A$304,0))&amp;"",""))</f>
        <v/>
      </c>
      <c r="J159" s="34" t="str">
        <f aca="false">IF(A159="","",IFERROR(INDEX(Items!$C$5:$C$304,MATCH(D159,Items!$A$5:$A$304,0))&amp;"",""))</f>
        <v/>
      </c>
      <c r="K159" s="35" t="n">
        <f aca="false">IF(A159="",0,IF(ISNUMBER(F159),F159,IFERROR(INDEX(Items!$D$5:$D$304,MATCH(D159,Items!$A$5:$A$304,0)),0)))</f>
        <v>0</v>
      </c>
      <c r="L159" s="35" t="n">
        <f aca="false">ROUND(N(E159)*K159*(1-N(G159)),2)</f>
        <v>0</v>
      </c>
      <c r="M159" s="36" t="n">
        <f aca="false">IF(A159="",0,IFERROR(INDEX(Items!$E$5:$E$304,MATCH(D159,Items!$A$5:$A$304,0)),0))</f>
        <v>0</v>
      </c>
      <c r="N159" s="37" t="str">
        <f aca="false">IF(A159="","",IFERROR(INDEX(Customers!$E$5:$E$204,MATCH(C159,Customers!$A$5:$A$204,0)),"?"))</f>
        <v/>
      </c>
      <c r="O159" s="38" t="str">
        <f aca="false">IF(A159="","",IF(N159=Settings!$B$17,"No","Yes"))</f>
        <v/>
      </c>
      <c r="P159" s="35" t="n">
        <f aca="false">IF(O159="Yes",ROUND(L159*M159,2),0)</f>
        <v>0</v>
      </c>
      <c r="Q159" s="35" t="n">
        <f aca="false">IF(O159="No",ROUND(L159*M159/2,2),0)</f>
        <v>0</v>
      </c>
      <c r="R159" s="35" t="n">
        <f aca="false">Q159</f>
        <v>0</v>
      </c>
      <c r="S159" s="35" t="n">
        <f aca="false">L159+P159+Q159+R159</f>
        <v>0</v>
      </c>
      <c r="T159" s="34" t="str">
        <f aca="false">IF(A159="","",IFERROR(INDEX(Customers!$B$5:$B$204,MATCH(C159,Customers!$A$5:$A$204,0))&amp;"",""))</f>
        <v/>
      </c>
      <c r="U159" s="38" t="str">
        <f aca="false">IF(A159="","",IF(T159&lt;&gt;"","B2B",IF(AND(O159="Yes",SUMIF($A$5:$A$1004,A159,$L$5:$L$1004)+SUMIF($A$5:$A$1004,A159,$P$5:$P$1004)&gt;100000),"B2CL","B2CS")))</f>
        <v/>
      </c>
      <c r="V159" s="17" t="str">
        <f aca="false">IF(A159="","",TEXT(B159,"mmm-yyyy"))</f>
        <v/>
      </c>
    </row>
    <row r="160" customFormat="false" ht="15" hidden="false" customHeight="true" outlineLevel="0" collapsed="false">
      <c r="A160" s="24"/>
      <c r="B160" s="39"/>
      <c r="C160" s="24"/>
      <c r="D160" s="24"/>
      <c r="E160" s="40"/>
      <c r="F160" s="29"/>
      <c r="G160" s="30"/>
      <c r="H160" s="17" t="str">
        <f aca="false">IF(A160="","",A160&amp;"|"&amp;COUNTIF(A$5:A160,A160))</f>
        <v/>
      </c>
      <c r="I160" s="33" t="str">
        <f aca="false">IF(A160="","",IFERROR(INDEX(Items!$B$5:$B$304,MATCH(D160,Items!$A$5:$A$304,0))&amp;"",""))</f>
        <v/>
      </c>
      <c r="J160" s="34" t="str">
        <f aca="false">IF(A160="","",IFERROR(INDEX(Items!$C$5:$C$304,MATCH(D160,Items!$A$5:$A$304,0))&amp;"",""))</f>
        <v/>
      </c>
      <c r="K160" s="35" t="n">
        <f aca="false">IF(A160="",0,IF(ISNUMBER(F160),F160,IFERROR(INDEX(Items!$D$5:$D$304,MATCH(D160,Items!$A$5:$A$304,0)),0)))</f>
        <v>0</v>
      </c>
      <c r="L160" s="35" t="n">
        <f aca="false">ROUND(N(E160)*K160*(1-N(G160)),2)</f>
        <v>0</v>
      </c>
      <c r="M160" s="36" t="n">
        <f aca="false">IF(A160="",0,IFERROR(INDEX(Items!$E$5:$E$304,MATCH(D160,Items!$A$5:$A$304,0)),0))</f>
        <v>0</v>
      </c>
      <c r="N160" s="37" t="str">
        <f aca="false">IF(A160="","",IFERROR(INDEX(Customers!$E$5:$E$204,MATCH(C160,Customers!$A$5:$A$204,0)),"?"))</f>
        <v/>
      </c>
      <c r="O160" s="38" t="str">
        <f aca="false">IF(A160="","",IF(N160=Settings!$B$17,"No","Yes"))</f>
        <v/>
      </c>
      <c r="P160" s="35" t="n">
        <f aca="false">IF(O160="Yes",ROUND(L160*M160,2),0)</f>
        <v>0</v>
      </c>
      <c r="Q160" s="35" t="n">
        <f aca="false">IF(O160="No",ROUND(L160*M160/2,2),0)</f>
        <v>0</v>
      </c>
      <c r="R160" s="35" t="n">
        <f aca="false">Q160</f>
        <v>0</v>
      </c>
      <c r="S160" s="35" t="n">
        <f aca="false">L160+P160+Q160+R160</f>
        <v>0</v>
      </c>
      <c r="T160" s="34" t="str">
        <f aca="false">IF(A160="","",IFERROR(INDEX(Customers!$B$5:$B$204,MATCH(C160,Customers!$A$5:$A$204,0))&amp;"",""))</f>
        <v/>
      </c>
      <c r="U160" s="38" t="str">
        <f aca="false">IF(A160="","",IF(T160&lt;&gt;"","B2B",IF(AND(O160="Yes",SUMIF($A$5:$A$1004,A160,$L$5:$L$1004)+SUMIF($A$5:$A$1004,A160,$P$5:$P$1004)&gt;100000),"B2CL","B2CS")))</f>
        <v/>
      </c>
      <c r="V160" s="17" t="str">
        <f aca="false">IF(A160="","",TEXT(B160,"mmm-yyyy"))</f>
        <v/>
      </c>
    </row>
    <row r="161" customFormat="false" ht="15" hidden="false" customHeight="true" outlineLevel="0" collapsed="false">
      <c r="A161" s="24"/>
      <c r="B161" s="39"/>
      <c r="C161" s="24"/>
      <c r="D161" s="24"/>
      <c r="E161" s="40"/>
      <c r="F161" s="29"/>
      <c r="G161" s="30"/>
      <c r="H161" s="17" t="str">
        <f aca="false">IF(A161="","",A161&amp;"|"&amp;COUNTIF(A$5:A161,A161))</f>
        <v/>
      </c>
      <c r="I161" s="33" t="str">
        <f aca="false">IF(A161="","",IFERROR(INDEX(Items!$B$5:$B$304,MATCH(D161,Items!$A$5:$A$304,0))&amp;"",""))</f>
        <v/>
      </c>
      <c r="J161" s="34" t="str">
        <f aca="false">IF(A161="","",IFERROR(INDEX(Items!$C$5:$C$304,MATCH(D161,Items!$A$5:$A$304,0))&amp;"",""))</f>
        <v/>
      </c>
      <c r="K161" s="35" t="n">
        <f aca="false">IF(A161="",0,IF(ISNUMBER(F161),F161,IFERROR(INDEX(Items!$D$5:$D$304,MATCH(D161,Items!$A$5:$A$304,0)),0)))</f>
        <v>0</v>
      </c>
      <c r="L161" s="35" t="n">
        <f aca="false">ROUND(N(E161)*K161*(1-N(G161)),2)</f>
        <v>0</v>
      </c>
      <c r="M161" s="36" t="n">
        <f aca="false">IF(A161="",0,IFERROR(INDEX(Items!$E$5:$E$304,MATCH(D161,Items!$A$5:$A$304,0)),0))</f>
        <v>0</v>
      </c>
      <c r="N161" s="37" t="str">
        <f aca="false">IF(A161="","",IFERROR(INDEX(Customers!$E$5:$E$204,MATCH(C161,Customers!$A$5:$A$204,0)),"?"))</f>
        <v/>
      </c>
      <c r="O161" s="38" t="str">
        <f aca="false">IF(A161="","",IF(N161=Settings!$B$17,"No","Yes"))</f>
        <v/>
      </c>
      <c r="P161" s="35" t="n">
        <f aca="false">IF(O161="Yes",ROUND(L161*M161,2),0)</f>
        <v>0</v>
      </c>
      <c r="Q161" s="35" t="n">
        <f aca="false">IF(O161="No",ROUND(L161*M161/2,2),0)</f>
        <v>0</v>
      </c>
      <c r="R161" s="35" t="n">
        <f aca="false">Q161</f>
        <v>0</v>
      </c>
      <c r="S161" s="35" t="n">
        <f aca="false">L161+P161+Q161+R161</f>
        <v>0</v>
      </c>
      <c r="T161" s="34" t="str">
        <f aca="false">IF(A161="","",IFERROR(INDEX(Customers!$B$5:$B$204,MATCH(C161,Customers!$A$5:$A$204,0))&amp;"",""))</f>
        <v/>
      </c>
      <c r="U161" s="38" t="str">
        <f aca="false">IF(A161="","",IF(T161&lt;&gt;"","B2B",IF(AND(O161="Yes",SUMIF($A$5:$A$1004,A161,$L$5:$L$1004)+SUMIF($A$5:$A$1004,A161,$P$5:$P$1004)&gt;100000),"B2CL","B2CS")))</f>
        <v/>
      </c>
      <c r="V161" s="17" t="str">
        <f aca="false">IF(A161="","",TEXT(B161,"mmm-yyyy"))</f>
        <v/>
      </c>
    </row>
    <row r="162" customFormat="false" ht="15" hidden="false" customHeight="true" outlineLevel="0" collapsed="false">
      <c r="A162" s="24"/>
      <c r="B162" s="39"/>
      <c r="C162" s="24"/>
      <c r="D162" s="24"/>
      <c r="E162" s="40"/>
      <c r="F162" s="29"/>
      <c r="G162" s="30"/>
      <c r="H162" s="17" t="str">
        <f aca="false">IF(A162="","",A162&amp;"|"&amp;COUNTIF(A$5:A162,A162))</f>
        <v/>
      </c>
      <c r="I162" s="33" t="str">
        <f aca="false">IF(A162="","",IFERROR(INDEX(Items!$B$5:$B$304,MATCH(D162,Items!$A$5:$A$304,0))&amp;"",""))</f>
        <v/>
      </c>
      <c r="J162" s="34" t="str">
        <f aca="false">IF(A162="","",IFERROR(INDEX(Items!$C$5:$C$304,MATCH(D162,Items!$A$5:$A$304,0))&amp;"",""))</f>
        <v/>
      </c>
      <c r="K162" s="35" t="n">
        <f aca="false">IF(A162="",0,IF(ISNUMBER(F162),F162,IFERROR(INDEX(Items!$D$5:$D$304,MATCH(D162,Items!$A$5:$A$304,0)),0)))</f>
        <v>0</v>
      </c>
      <c r="L162" s="35" t="n">
        <f aca="false">ROUND(N(E162)*K162*(1-N(G162)),2)</f>
        <v>0</v>
      </c>
      <c r="M162" s="36" t="n">
        <f aca="false">IF(A162="",0,IFERROR(INDEX(Items!$E$5:$E$304,MATCH(D162,Items!$A$5:$A$304,0)),0))</f>
        <v>0</v>
      </c>
      <c r="N162" s="37" t="str">
        <f aca="false">IF(A162="","",IFERROR(INDEX(Customers!$E$5:$E$204,MATCH(C162,Customers!$A$5:$A$204,0)),"?"))</f>
        <v/>
      </c>
      <c r="O162" s="38" t="str">
        <f aca="false">IF(A162="","",IF(N162=Settings!$B$17,"No","Yes"))</f>
        <v/>
      </c>
      <c r="P162" s="35" t="n">
        <f aca="false">IF(O162="Yes",ROUND(L162*M162,2),0)</f>
        <v>0</v>
      </c>
      <c r="Q162" s="35" t="n">
        <f aca="false">IF(O162="No",ROUND(L162*M162/2,2),0)</f>
        <v>0</v>
      </c>
      <c r="R162" s="35" t="n">
        <f aca="false">Q162</f>
        <v>0</v>
      </c>
      <c r="S162" s="35" t="n">
        <f aca="false">L162+P162+Q162+R162</f>
        <v>0</v>
      </c>
      <c r="T162" s="34" t="str">
        <f aca="false">IF(A162="","",IFERROR(INDEX(Customers!$B$5:$B$204,MATCH(C162,Customers!$A$5:$A$204,0))&amp;"",""))</f>
        <v/>
      </c>
      <c r="U162" s="38" t="str">
        <f aca="false">IF(A162="","",IF(T162&lt;&gt;"","B2B",IF(AND(O162="Yes",SUMIF($A$5:$A$1004,A162,$L$5:$L$1004)+SUMIF($A$5:$A$1004,A162,$P$5:$P$1004)&gt;100000),"B2CL","B2CS")))</f>
        <v/>
      </c>
      <c r="V162" s="17" t="str">
        <f aca="false">IF(A162="","",TEXT(B162,"mmm-yyyy"))</f>
        <v/>
      </c>
    </row>
    <row r="163" customFormat="false" ht="15" hidden="false" customHeight="true" outlineLevel="0" collapsed="false">
      <c r="A163" s="24"/>
      <c r="B163" s="39"/>
      <c r="C163" s="24"/>
      <c r="D163" s="24"/>
      <c r="E163" s="40"/>
      <c r="F163" s="29"/>
      <c r="G163" s="30"/>
      <c r="H163" s="17" t="str">
        <f aca="false">IF(A163="","",A163&amp;"|"&amp;COUNTIF(A$5:A163,A163))</f>
        <v/>
      </c>
      <c r="I163" s="33" t="str">
        <f aca="false">IF(A163="","",IFERROR(INDEX(Items!$B$5:$B$304,MATCH(D163,Items!$A$5:$A$304,0))&amp;"",""))</f>
        <v/>
      </c>
      <c r="J163" s="34" t="str">
        <f aca="false">IF(A163="","",IFERROR(INDEX(Items!$C$5:$C$304,MATCH(D163,Items!$A$5:$A$304,0))&amp;"",""))</f>
        <v/>
      </c>
      <c r="K163" s="35" t="n">
        <f aca="false">IF(A163="",0,IF(ISNUMBER(F163),F163,IFERROR(INDEX(Items!$D$5:$D$304,MATCH(D163,Items!$A$5:$A$304,0)),0)))</f>
        <v>0</v>
      </c>
      <c r="L163" s="35" t="n">
        <f aca="false">ROUND(N(E163)*K163*(1-N(G163)),2)</f>
        <v>0</v>
      </c>
      <c r="M163" s="36" t="n">
        <f aca="false">IF(A163="",0,IFERROR(INDEX(Items!$E$5:$E$304,MATCH(D163,Items!$A$5:$A$304,0)),0))</f>
        <v>0</v>
      </c>
      <c r="N163" s="37" t="str">
        <f aca="false">IF(A163="","",IFERROR(INDEX(Customers!$E$5:$E$204,MATCH(C163,Customers!$A$5:$A$204,0)),"?"))</f>
        <v/>
      </c>
      <c r="O163" s="38" t="str">
        <f aca="false">IF(A163="","",IF(N163=Settings!$B$17,"No","Yes"))</f>
        <v/>
      </c>
      <c r="P163" s="35" t="n">
        <f aca="false">IF(O163="Yes",ROUND(L163*M163,2),0)</f>
        <v>0</v>
      </c>
      <c r="Q163" s="35" t="n">
        <f aca="false">IF(O163="No",ROUND(L163*M163/2,2),0)</f>
        <v>0</v>
      </c>
      <c r="R163" s="35" t="n">
        <f aca="false">Q163</f>
        <v>0</v>
      </c>
      <c r="S163" s="35" t="n">
        <f aca="false">L163+P163+Q163+R163</f>
        <v>0</v>
      </c>
      <c r="T163" s="34" t="str">
        <f aca="false">IF(A163="","",IFERROR(INDEX(Customers!$B$5:$B$204,MATCH(C163,Customers!$A$5:$A$204,0))&amp;"",""))</f>
        <v/>
      </c>
      <c r="U163" s="38" t="str">
        <f aca="false">IF(A163="","",IF(T163&lt;&gt;"","B2B",IF(AND(O163="Yes",SUMIF($A$5:$A$1004,A163,$L$5:$L$1004)+SUMIF($A$5:$A$1004,A163,$P$5:$P$1004)&gt;100000),"B2CL","B2CS")))</f>
        <v/>
      </c>
      <c r="V163" s="17" t="str">
        <f aca="false">IF(A163="","",TEXT(B163,"mmm-yyyy"))</f>
        <v/>
      </c>
    </row>
    <row r="164" customFormat="false" ht="15" hidden="false" customHeight="true" outlineLevel="0" collapsed="false">
      <c r="A164" s="24"/>
      <c r="B164" s="39"/>
      <c r="C164" s="24"/>
      <c r="D164" s="24"/>
      <c r="E164" s="40"/>
      <c r="F164" s="29"/>
      <c r="G164" s="30"/>
      <c r="H164" s="17" t="str">
        <f aca="false">IF(A164="","",A164&amp;"|"&amp;COUNTIF(A$5:A164,A164))</f>
        <v/>
      </c>
      <c r="I164" s="33" t="str">
        <f aca="false">IF(A164="","",IFERROR(INDEX(Items!$B$5:$B$304,MATCH(D164,Items!$A$5:$A$304,0))&amp;"",""))</f>
        <v/>
      </c>
      <c r="J164" s="34" t="str">
        <f aca="false">IF(A164="","",IFERROR(INDEX(Items!$C$5:$C$304,MATCH(D164,Items!$A$5:$A$304,0))&amp;"",""))</f>
        <v/>
      </c>
      <c r="K164" s="35" t="n">
        <f aca="false">IF(A164="",0,IF(ISNUMBER(F164),F164,IFERROR(INDEX(Items!$D$5:$D$304,MATCH(D164,Items!$A$5:$A$304,0)),0)))</f>
        <v>0</v>
      </c>
      <c r="L164" s="35" t="n">
        <f aca="false">ROUND(N(E164)*K164*(1-N(G164)),2)</f>
        <v>0</v>
      </c>
      <c r="M164" s="36" t="n">
        <f aca="false">IF(A164="",0,IFERROR(INDEX(Items!$E$5:$E$304,MATCH(D164,Items!$A$5:$A$304,0)),0))</f>
        <v>0</v>
      </c>
      <c r="N164" s="37" t="str">
        <f aca="false">IF(A164="","",IFERROR(INDEX(Customers!$E$5:$E$204,MATCH(C164,Customers!$A$5:$A$204,0)),"?"))</f>
        <v/>
      </c>
      <c r="O164" s="38" t="str">
        <f aca="false">IF(A164="","",IF(N164=Settings!$B$17,"No","Yes"))</f>
        <v/>
      </c>
      <c r="P164" s="35" t="n">
        <f aca="false">IF(O164="Yes",ROUND(L164*M164,2),0)</f>
        <v>0</v>
      </c>
      <c r="Q164" s="35" t="n">
        <f aca="false">IF(O164="No",ROUND(L164*M164/2,2),0)</f>
        <v>0</v>
      </c>
      <c r="R164" s="35" t="n">
        <f aca="false">Q164</f>
        <v>0</v>
      </c>
      <c r="S164" s="35" t="n">
        <f aca="false">L164+P164+Q164+R164</f>
        <v>0</v>
      </c>
      <c r="T164" s="34" t="str">
        <f aca="false">IF(A164="","",IFERROR(INDEX(Customers!$B$5:$B$204,MATCH(C164,Customers!$A$5:$A$204,0))&amp;"",""))</f>
        <v/>
      </c>
      <c r="U164" s="38" t="str">
        <f aca="false">IF(A164="","",IF(T164&lt;&gt;"","B2B",IF(AND(O164="Yes",SUMIF($A$5:$A$1004,A164,$L$5:$L$1004)+SUMIF($A$5:$A$1004,A164,$P$5:$P$1004)&gt;100000),"B2CL","B2CS")))</f>
        <v/>
      </c>
      <c r="V164" s="17" t="str">
        <f aca="false">IF(A164="","",TEXT(B164,"mmm-yyyy"))</f>
        <v/>
      </c>
    </row>
    <row r="165" customFormat="false" ht="15" hidden="false" customHeight="true" outlineLevel="0" collapsed="false">
      <c r="A165" s="24"/>
      <c r="B165" s="39"/>
      <c r="C165" s="24"/>
      <c r="D165" s="24"/>
      <c r="E165" s="40"/>
      <c r="F165" s="29"/>
      <c r="G165" s="30"/>
      <c r="H165" s="17" t="str">
        <f aca="false">IF(A165="","",A165&amp;"|"&amp;COUNTIF(A$5:A165,A165))</f>
        <v/>
      </c>
      <c r="I165" s="33" t="str">
        <f aca="false">IF(A165="","",IFERROR(INDEX(Items!$B$5:$B$304,MATCH(D165,Items!$A$5:$A$304,0))&amp;"",""))</f>
        <v/>
      </c>
      <c r="J165" s="34" t="str">
        <f aca="false">IF(A165="","",IFERROR(INDEX(Items!$C$5:$C$304,MATCH(D165,Items!$A$5:$A$304,0))&amp;"",""))</f>
        <v/>
      </c>
      <c r="K165" s="35" t="n">
        <f aca="false">IF(A165="",0,IF(ISNUMBER(F165),F165,IFERROR(INDEX(Items!$D$5:$D$304,MATCH(D165,Items!$A$5:$A$304,0)),0)))</f>
        <v>0</v>
      </c>
      <c r="L165" s="35" t="n">
        <f aca="false">ROUND(N(E165)*K165*(1-N(G165)),2)</f>
        <v>0</v>
      </c>
      <c r="M165" s="36" t="n">
        <f aca="false">IF(A165="",0,IFERROR(INDEX(Items!$E$5:$E$304,MATCH(D165,Items!$A$5:$A$304,0)),0))</f>
        <v>0</v>
      </c>
      <c r="N165" s="37" t="str">
        <f aca="false">IF(A165="","",IFERROR(INDEX(Customers!$E$5:$E$204,MATCH(C165,Customers!$A$5:$A$204,0)),"?"))</f>
        <v/>
      </c>
      <c r="O165" s="38" t="str">
        <f aca="false">IF(A165="","",IF(N165=Settings!$B$17,"No","Yes"))</f>
        <v/>
      </c>
      <c r="P165" s="35" t="n">
        <f aca="false">IF(O165="Yes",ROUND(L165*M165,2),0)</f>
        <v>0</v>
      </c>
      <c r="Q165" s="35" t="n">
        <f aca="false">IF(O165="No",ROUND(L165*M165/2,2),0)</f>
        <v>0</v>
      </c>
      <c r="R165" s="35" t="n">
        <f aca="false">Q165</f>
        <v>0</v>
      </c>
      <c r="S165" s="35" t="n">
        <f aca="false">L165+P165+Q165+R165</f>
        <v>0</v>
      </c>
      <c r="T165" s="34" t="str">
        <f aca="false">IF(A165="","",IFERROR(INDEX(Customers!$B$5:$B$204,MATCH(C165,Customers!$A$5:$A$204,0))&amp;"",""))</f>
        <v/>
      </c>
      <c r="U165" s="38" t="str">
        <f aca="false">IF(A165="","",IF(T165&lt;&gt;"","B2B",IF(AND(O165="Yes",SUMIF($A$5:$A$1004,A165,$L$5:$L$1004)+SUMIF($A$5:$A$1004,A165,$P$5:$P$1004)&gt;100000),"B2CL","B2CS")))</f>
        <v/>
      </c>
      <c r="V165" s="17" t="str">
        <f aca="false">IF(A165="","",TEXT(B165,"mmm-yyyy"))</f>
        <v/>
      </c>
    </row>
    <row r="166" customFormat="false" ht="15" hidden="false" customHeight="true" outlineLevel="0" collapsed="false">
      <c r="A166" s="24"/>
      <c r="B166" s="39"/>
      <c r="C166" s="24"/>
      <c r="D166" s="24"/>
      <c r="E166" s="40"/>
      <c r="F166" s="29"/>
      <c r="G166" s="30"/>
      <c r="H166" s="17" t="str">
        <f aca="false">IF(A166="","",A166&amp;"|"&amp;COUNTIF(A$5:A166,A166))</f>
        <v/>
      </c>
      <c r="I166" s="33" t="str">
        <f aca="false">IF(A166="","",IFERROR(INDEX(Items!$B$5:$B$304,MATCH(D166,Items!$A$5:$A$304,0))&amp;"",""))</f>
        <v/>
      </c>
      <c r="J166" s="34" t="str">
        <f aca="false">IF(A166="","",IFERROR(INDEX(Items!$C$5:$C$304,MATCH(D166,Items!$A$5:$A$304,0))&amp;"",""))</f>
        <v/>
      </c>
      <c r="K166" s="35" t="n">
        <f aca="false">IF(A166="",0,IF(ISNUMBER(F166),F166,IFERROR(INDEX(Items!$D$5:$D$304,MATCH(D166,Items!$A$5:$A$304,0)),0)))</f>
        <v>0</v>
      </c>
      <c r="L166" s="35" t="n">
        <f aca="false">ROUND(N(E166)*K166*(1-N(G166)),2)</f>
        <v>0</v>
      </c>
      <c r="M166" s="36" t="n">
        <f aca="false">IF(A166="",0,IFERROR(INDEX(Items!$E$5:$E$304,MATCH(D166,Items!$A$5:$A$304,0)),0))</f>
        <v>0</v>
      </c>
      <c r="N166" s="37" t="str">
        <f aca="false">IF(A166="","",IFERROR(INDEX(Customers!$E$5:$E$204,MATCH(C166,Customers!$A$5:$A$204,0)),"?"))</f>
        <v/>
      </c>
      <c r="O166" s="38" t="str">
        <f aca="false">IF(A166="","",IF(N166=Settings!$B$17,"No","Yes"))</f>
        <v/>
      </c>
      <c r="P166" s="35" t="n">
        <f aca="false">IF(O166="Yes",ROUND(L166*M166,2),0)</f>
        <v>0</v>
      </c>
      <c r="Q166" s="35" t="n">
        <f aca="false">IF(O166="No",ROUND(L166*M166/2,2),0)</f>
        <v>0</v>
      </c>
      <c r="R166" s="35" t="n">
        <f aca="false">Q166</f>
        <v>0</v>
      </c>
      <c r="S166" s="35" t="n">
        <f aca="false">L166+P166+Q166+R166</f>
        <v>0</v>
      </c>
      <c r="T166" s="34" t="str">
        <f aca="false">IF(A166="","",IFERROR(INDEX(Customers!$B$5:$B$204,MATCH(C166,Customers!$A$5:$A$204,0))&amp;"",""))</f>
        <v/>
      </c>
      <c r="U166" s="38" t="str">
        <f aca="false">IF(A166="","",IF(T166&lt;&gt;"","B2B",IF(AND(O166="Yes",SUMIF($A$5:$A$1004,A166,$L$5:$L$1004)+SUMIF($A$5:$A$1004,A166,$P$5:$P$1004)&gt;100000),"B2CL","B2CS")))</f>
        <v/>
      </c>
      <c r="V166" s="17" t="str">
        <f aca="false">IF(A166="","",TEXT(B166,"mmm-yyyy"))</f>
        <v/>
      </c>
    </row>
    <row r="167" customFormat="false" ht="15" hidden="false" customHeight="true" outlineLevel="0" collapsed="false">
      <c r="A167" s="24"/>
      <c r="B167" s="39"/>
      <c r="C167" s="24"/>
      <c r="D167" s="24"/>
      <c r="E167" s="40"/>
      <c r="F167" s="29"/>
      <c r="G167" s="30"/>
      <c r="H167" s="17" t="str">
        <f aca="false">IF(A167="","",A167&amp;"|"&amp;COUNTIF(A$5:A167,A167))</f>
        <v/>
      </c>
      <c r="I167" s="33" t="str">
        <f aca="false">IF(A167="","",IFERROR(INDEX(Items!$B$5:$B$304,MATCH(D167,Items!$A$5:$A$304,0))&amp;"",""))</f>
        <v/>
      </c>
      <c r="J167" s="34" t="str">
        <f aca="false">IF(A167="","",IFERROR(INDEX(Items!$C$5:$C$304,MATCH(D167,Items!$A$5:$A$304,0))&amp;"",""))</f>
        <v/>
      </c>
      <c r="K167" s="35" t="n">
        <f aca="false">IF(A167="",0,IF(ISNUMBER(F167),F167,IFERROR(INDEX(Items!$D$5:$D$304,MATCH(D167,Items!$A$5:$A$304,0)),0)))</f>
        <v>0</v>
      </c>
      <c r="L167" s="35" t="n">
        <f aca="false">ROUND(N(E167)*K167*(1-N(G167)),2)</f>
        <v>0</v>
      </c>
      <c r="M167" s="36" t="n">
        <f aca="false">IF(A167="",0,IFERROR(INDEX(Items!$E$5:$E$304,MATCH(D167,Items!$A$5:$A$304,0)),0))</f>
        <v>0</v>
      </c>
      <c r="N167" s="37" t="str">
        <f aca="false">IF(A167="","",IFERROR(INDEX(Customers!$E$5:$E$204,MATCH(C167,Customers!$A$5:$A$204,0)),"?"))</f>
        <v/>
      </c>
      <c r="O167" s="38" t="str">
        <f aca="false">IF(A167="","",IF(N167=Settings!$B$17,"No","Yes"))</f>
        <v/>
      </c>
      <c r="P167" s="35" t="n">
        <f aca="false">IF(O167="Yes",ROUND(L167*M167,2),0)</f>
        <v>0</v>
      </c>
      <c r="Q167" s="35" t="n">
        <f aca="false">IF(O167="No",ROUND(L167*M167/2,2),0)</f>
        <v>0</v>
      </c>
      <c r="R167" s="35" t="n">
        <f aca="false">Q167</f>
        <v>0</v>
      </c>
      <c r="S167" s="35" t="n">
        <f aca="false">L167+P167+Q167+R167</f>
        <v>0</v>
      </c>
      <c r="T167" s="34" t="str">
        <f aca="false">IF(A167="","",IFERROR(INDEX(Customers!$B$5:$B$204,MATCH(C167,Customers!$A$5:$A$204,0))&amp;"",""))</f>
        <v/>
      </c>
      <c r="U167" s="38" t="str">
        <f aca="false">IF(A167="","",IF(T167&lt;&gt;"","B2B",IF(AND(O167="Yes",SUMIF($A$5:$A$1004,A167,$L$5:$L$1004)+SUMIF($A$5:$A$1004,A167,$P$5:$P$1004)&gt;100000),"B2CL","B2CS")))</f>
        <v/>
      </c>
      <c r="V167" s="17" t="str">
        <f aca="false">IF(A167="","",TEXT(B167,"mmm-yyyy"))</f>
        <v/>
      </c>
    </row>
    <row r="168" customFormat="false" ht="15" hidden="false" customHeight="true" outlineLevel="0" collapsed="false">
      <c r="A168" s="24"/>
      <c r="B168" s="39"/>
      <c r="C168" s="24"/>
      <c r="D168" s="24"/>
      <c r="E168" s="40"/>
      <c r="F168" s="29"/>
      <c r="G168" s="30"/>
      <c r="H168" s="17" t="str">
        <f aca="false">IF(A168="","",A168&amp;"|"&amp;COUNTIF(A$5:A168,A168))</f>
        <v/>
      </c>
      <c r="I168" s="33" t="str">
        <f aca="false">IF(A168="","",IFERROR(INDEX(Items!$B$5:$B$304,MATCH(D168,Items!$A$5:$A$304,0))&amp;"",""))</f>
        <v/>
      </c>
      <c r="J168" s="34" t="str">
        <f aca="false">IF(A168="","",IFERROR(INDEX(Items!$C$5:$C$304,MATCH(D168,Items!$A$5:$A$304,0))&amp;"",""))</f>
        <v/>
      </c>
      <c r="K168" s="35" t="n">
        <f aca="false">IF(A168="",0,IF(ISNUMBER(F168),F168,IFERROR(INDEX(Items!$D$5:$D$304,MATCH(D168,Items!$A$5:$A$304,0)),0)))</f>
        <v>0</v>
      </c>
      <c r="L168" s="35" t="n">
        <f aca="false">ROUND(N(E168)*K168*(1-N(G168)),2)</f>
        <v>0</v>
      </c>
      <c r="M168" s="36" t="n">
        <f aca="false">IF(A168="",0,IFERROR(INDEX(Items!$E$5:$E$304,MATCH(D168,Items!$A$5:$A$304,0)),0))</f>
        <v>0</v>
      </c>
      <c r="N168" s="37" t="str">
        <f aca="false">IF(A168="","",IFERROR(INDEX(Customers!$E$5:$E$204,MATCH(C168,Customers!$A$5:$A$204,0)),"?"))</f>
        <v/>
      </c>
      <c r="O168" s="38" t="str">
        <f aca="false">IF(A168="","",IF(N168=Settings!$B$17,"No","Yes"))</f>
        <v/>
      </c>
      <c r="P168" s="35" t="n">
        <f aca="false">IF(O168="Yes",ROUND(L168*M168,2),0)</f>
        <v>0</v>
      </c>
      <c r="Q168" s="35" t="n">
        <f aca="false">IF(O168="No",ROUND(L168*M168/2,2),0)</f>
        <v>0</v>
      </c>
      <c r="R168" s="35" t="n">
        <f aca="false">Q168</f>
        <v>0</v>
      </c>
      <c r="S168" s="35" t="n">
        <f aca="false">L168+P168+Q168+R168</f>
        <v>0</v>
      </c>
      <c r="T168" s="34" t="str">
        <f aca="false">IF(A168="","",IFERROR(INDEX(Customers!$B$5:$B$204,MATCH(C168,Customers!$A$5:$A$204,0))&amp;"",""))</f>
        <v/>
      </c>
      <c r="U168" s="38" t="str">
        <f aca="false">IF(A168="","",IF(T168&lt;&gt;"","B2B",IF(AND(O168="Yes",SUMIF($A$5:$A$1004,A168,$L$5:$L$1004)+SUMIF($A$5:$A$1004,A168,$P$5:$P$1004)&gt;100000),"B2CL","B2CS")))</f>
        <v/>
      </c>
      <c r="V168" s="17" t="str">
        <f aca="false">IF(A168="","",TEXT(B168,"mmm-yyyy"))</f>
        <v/>
      </c>
    </row>
    <row r="169" customFormat="false" ht="15" hidden="false" customHeight="true" outlineLevel="0" collapsed="false">
      <c r="A169" s="24"/>
      <c r="B169" s="39"/>
      <c r="C169" s="24"/>
      <c r="D169" s="24"/>
      <c r="E169" s="40"/>
      <c r="F169" s="29"/>
      <c r="G169" s="30"/>
      <c r="H169" s="17" t="str">
        <f aca="false">IF(A169="","",A169&amp;"|"&amp;COUNTIF(A$5:A169,A169))</f>
        <v/>
      </c>
      <c r="I169" s="33" t="str">
        <f aca="false">IF(A169="","",IFERROR(INDEX(Items!$B$5:$B$304,MATCH(D169,Items!$A$5:$A$304,0))&amp;"",""))</f>
        <v/>
      </c>
      <c r="J169" s="34" t="str">
        <f aca="false">IF(A169="","",IFERROR(INDEX(Items!$C$5:$C$304,MATCH(D169,Items!$A$5:$A$304,0))&amp;"",""))</f>
        <v/>
      </c>
      <c r="K169" s="35" t="n">
        <f aca="false">IF(A169="",0,IF(ISNUMBER(F169),F169,IFERROR(INDEX(Items!$D$5:$D$304,MATCH(D169,Items!$A$5:$A$304,0)),0)))</f>
        <v>0</v>
      </c>
      <c r="L169" s="35" t="n">
        <f aca="false">ROUND(N(E169)*K169*(1-N(G169)),2)</f>
        <v>0</v>
      </c>
      <c r="M169" s="36" t="n">
        <f aca="false">IF(A169="",0,IFERROR(INDEX(Items!$E$5:$E$304,MATCH(D169,Items!$A$5:$A$304,0)),0))</f>
        <v>0</v>
      </c>
      <c r="N169" s="37" t="str">
        <f aca="false">IF(A169="","",IFERROR(INDEX(Customers!$E$5:$E$204,MATCH(C169,Customers!$A$5:$A$204,0)),"?"))</f>
        <v/>
      </c>
      <c r="O169" s="38" t="str">
        <f aca="false">IF(A169="","",IF(N169=Settings!$B$17,"No","Yes"))</f>
        <v/>
      </c>
      <c r="P169" s="35" t="n">
        <f aca="false">IF(O169="Yes",ROUND(L169*M169,2),0)</f>
        <v>0</v>
      </c>
      <c r="Q169" s="35" t="n">
        <f aca="false">IF(O169="No",ROUND(L169*M169/2,2),0)</f>
        <v>0</v>
      </c>
      <c r="R169" s="35" t="n">
        <f aca="false">Q169</f>
        <v>0</v>
      </c>
      <c r="S169" s="35" t="n">
        <f aca="false">L169+P169+Q169+R169</f>
        <v>0</v>
      </c>
      <c r="T169" s="34" t="str">
        <f aca="false">IF(A169="","",IFERROR(INDEX(Customers!$B$5:$B$204,MATCH(C169,Customers!$A$5:$A$204,0))&amp;"",""))</f>
        <v/>
      </c>
      <c r="U169" s="38" t="str">
        <f aca="false">IF(A169="","",IF(T169&lt;&gt;"","B2B",IF(AND(O169="Yes",SUMIF($A$5:$A$1004,A169,$L$5:$L$1004)+SUMIF($A$5:$A$1004,A169,$P$5:$P$1004)&gt;100000),"B2CL","B2CS")))</f>
        <v/>
      </c>
      <c r="V169" s="17" t="str">
        <f aca="false">IF(A169="","",TEXT(B169,"mmm-yyyy"))</f>
        <v/>
      </c>
    </row>
    <row r="170" customFormat="false" ht="15" hidden="false" customHeight="true" outlineLevel="0" collapsed="false">
      <c r="A170" s="24"/>
      <c r="B170" s="39"/>
      <c r="C170" s="24"/>
      <c r="D170" s="24"/>
      <c r="E170" s="40"/>
      <c r="F170" s="29"/>
      <c r="G170" s="30"/>
      <c r="H170" s="17" t="str">
        <f aca="false">IF(A170="","",A170&amp;"|"&amp;COUNTIF(A$5:A170,A170))</f>
        <v/>
      </c>
      <c r="I170" s="33" t="str">
        <f aca="false">IF(A170="","",IFERROR(INDEX(Items!$B$5:$B$304,MATCH(D170,Items!$A$5:$A$304,0))&amp;"",""))</f>
        <v/>
      </c>
      <c r="J170" s="34" t="str">
        <f aca="false">IF(A170="","",IFERROR(INDEX(Items!$C$5:$C$304,MATCH(D170,Items!$A$5:$A$304,0))&amp;"",""))</f>
        <v/>
      </c>
      <c r="K170" s="35" t="n">
        <f aca="false">IF(A170="",0,IF(ISNUMBER(F170),F170,IFERROR(INDEX(Items!$D$5:$D$304,MATCH(D170,Items!$A$5:$A$304,0)),0)))</f>
        <v>0</v>
      </c>
      <c r="L170" s="35" t="n">
        <f aca="false">ROUND(N(E170)*K170*(1-N(G170)),2)</f>
        <v>0</v>
      </c>
      <c r="M170" s="36" t="n">
        <f aca="false">IF(A170="",0,IFERROR(INDEX(Items!$E$5:$E$304,MATCH(D170,Items!$A$5:$A$304,0)),0))</f>
        <v>0</v>
      </c>
      <c r="N170" s="37" t="str">
        <f aca="false">IF(A170="","",IFERROR(INDEX(Customers!$E$5:$E$204,MATCH(C170,Customers!$A$5:$A$204,0)),"?"))</f>
        <v/>
      </c>
      <c r="O170" s="38" t="str">
        <f aca="false">IF(A170="","",IF(N170=Settings!$B$17,"No","Yes"))</f>
        <v/>
      </c>
      <c r="P170" s="35" t="n">
        <f aca="false">IF(O170="Yes",ROUND(L170*M170,2),0)</f>
        <v>0</v>
      </c>
      <c r="Q170" s="35" t="n">
        <f aca="false">IF(O170="No",ROUND(L170*M170/2,2),0)</f>
        <v>0</v>
      </c>
      <c r="R170" s="35" t="n">
        <f aca="false">Q170</f>
        <v>0</v>
      </c>
      <c r="S170" s="35" t="n">
        <f aca="false">L170+P170+Q170+R170</f>
        <v>0</v>
      </c>
      <c r="T170" s="34" t="str">
        <f aca="false">IF(A170="","",IFERROR(INDEX(Customers!$B$5:$B$204,MATCH(C170,Customers!$A$5:$A$204,0))&amp;"",""))</f>
        <v/>
      </c>
      <c r="U170" s="38" t="str">
        <f aca="false">IF(A170="","",IF(T170&lt;&gt;"","B2B",IF(AND(O170="Yes",SUMIF($A$5:$A$1004,A170,$L$5:$L$1004)+SUMIF($A$5:$A$1004,A170,$P$5:$P$1004)&gt;100000),"B2CL","B2CS")))</f>
        <v/>
      </c>
      <c r="V170" s="17" t="str">
        <f aca="false">IF(A170="","",TEXT(B170,"mmm-yyyy"))</f>
        <v/>
      </c>
    </row>
    <row r="171" customFormat="false" ht="15" hidden="false" customHeight="true" outlineLevel="0" collapsed="false">
      <c r="A171" s="24"/>
      <c r="B171" s="39"/>
      <c r="C171" s="24"/>
      <c r="D171" s="24"/>
      <c r="E171" s="40"/>
      <c r="F171" s="29"/>
      <c r="G171" s="30"/>
      <c r="H171" s="17" t="str">
        <f aca="false">IF(A171="","",A171&amp;"|"&amp;COUNTIF(A$5:A171,A171))</f>
        <v/>
      </c>
      <c r="I171" s="33" t="str">
        <f aca="false">IF(A171="","",IFERROR(INDEX(Items!$B$5:$B$304,MATCH(D171,Items!$A$5:$A$304,0))&amp;"",""))</f>
        <v/>
      </c>
      <c r="J171" s="34" t="str">
        <f aca="false">IF(A171="","",IFERROR(INDEX(Items!$C$5:$C$304,MATCH(D171,Items!$A$5:$A$304,0))&amp;"",""))</f>
        <v/>
      </c>
      <c r="K171" s="35" t="n">
        <f aca="false">IF(A171="",0,IF(ISNUMBER(F171),F171,IFERROR(INDEX(Items!$D$5:$D$304,MATCH(D171,Items!$A$5:$A$304,0)),0)))</f>
        <v>0</v>
      </c>
      <c r="L171" s="35" t="n">
        <f aca="false">ROUND(N(E171)*K171*(1-N(G171)),2)</f>
        <v>0</v>
      </c>
      <c r="M171" s="36" t="n">
        <f aca="false">IF(A171="",0,IFERROR(INDEX(Items!$E$5:$E$304,MATCH(D171,Items!$A$5:$A$304,0)),0))</f>
        <v>0</v>
      </c>
      <c r="N171" s="37" t="str">
        <f aca="false">IF(A171="","",IFERROR(INDEX(Customers!$E$5:$E$204,MATCH(C171,Customers!$A$5:$A$204,0)),"?"))</f>
        <v/>
      </c>
      <c r="O171" s="38" t="str">
        <f aca="false">IF(A171="","",IF(N171=Settings!$B$17,"No","Yes"))</f>
        <v/>
      </c>
      <c r="P171" s="35" t="n">
        <f aca="false">IF(O171="Yes",ROUND(L171*M171,2),0)</f>
        <v>0</v>
      </c>
      <c r="Q171" s="35" t="n">
        <f aca="false">IF(O171="No",ROUND(L171*M171/2,2),0)</f>
        <v>0</v>
      </c>
      <c r="R171" s="35" t="n">
        <f aca="false">Q171</f>
        <v>0</v>
      </c>
      <c r="S171" s="35" t="n">
        <f aca="false">L171+P171+Q171+R171</f>
        <v>0</v>
      </c>
      <c r="T171" s="34" t="str">
        <f aca="false">IF(A171="","",IFERROR(INDEX(Customers!$B$5:$B$204,MATCH(C171,Customers!$A$5:$A$204,0))&amp;"",""))</f>
        <v/>
      </c>
      <c r="U171" s="38" t="str">
        <f aca="false">IF(A171="","",IF(T171&lt;&gt;"","B2B",IF(AND(O171="Yes",SUMIF($A$5:$A$1004,A171,$L$5:$L$1004)+SUMIF($A$5:$A$1004,A171,$P$5:$P$1004)&gt;100000),"B2CL","B2CS")))</f>
        <v/>
      </c>
      <c r="V171" s="17" t="str">
        <f aca="false">IF(A171="","",TEXT(B171,"mmm-yyyy"))</f>
        <v/>
      </c>
    </row>
    <row r="172" customFormat="false" ht="15" hidden="false" customHeight="true" outlineLevel="0" collapsed="false">
      <c r="A172" s="24"/>
      <c r="B172" s="39"/>
      <c r="C172" s="24"/>
      <c r="D172" s="24"/>
      <c r="E172" s="40"/>
      <c r="F172" s="29"/>
      <c r="G172" s="30"/>
      <c r="H172" s="17" t="str">
        <f aca="false">IF(A172="","",A172&amp;"|"&amp;COUNTIF(A$5:A172,A172))</f>
        <v/>
      </c>
      <c r="I172" s="33" t="str">
        <f aca="false">IF(A172="","",IFERROR(INDEX(Items!$B$5:$B$304,MATCH(D172,Items!$A$5:$A$304,0))&amp;"",""))</f>
        <v/>
      </c>
      <c r="J172" s="34" t="str">
        <f aca="false">IF(A172="","",IFERROR(INDEX(Items!$C$5:$C$304,MATCH(D172,Items!$A$5:$A$304,0))&amp;"",""))</f>
        <v/>
      </c>
      <c r="K172" s="35" t="n">
        <f aca="false">IF(A172="",0,IF(ISNUMBER(F172),F172,IFERROR(INDEX(Items!$D$5:$D$304,MATCH(D172,Items!$A$5:$A$304,0)),0)))</f>
        <v>0</v>
      </c>
      <c r="L172" s="35" t="n">
        <f aca="false">ROUND(N(E172)*K172*(1-N(G172)),2)</f>
        <v>0</v>
      </c>
      <c r="M172" s="36" t="n">
        <f aca="false">IF(A172="",0,IFERROR(INDEX(Items!$E$5:$E$304,MATCH(D172,Items!$A$5:$A$304,0)),0))</f>
        <v>0</v>
      </c>
      <c r="N172" s="37" t="str">
        <f aca="false">IF(A172="","",IFERROR(INDEX(Customers!$E$5:$E$204,MATCH(C172,Customers!$A$5:$A$204,0)),"?"))</f>
        <v/>
      </c>
      <c r="O172" s="38" t="str">
        <f aca="false">IF(A172="","",IF(N172=Settings!$B$17,"No","Yes"))</f>
        <v/>
      </c>
      <c r="P172" s="35" t="n">
        <f aca="false">IF(O172="Yes",ROUND(L172*M172,2),0)</f>
        <v>0</v>
      </c>
      <c r="Q172" s="35" t="n">
        <f aca="false">IF(O172="No",ROUND(L172*M172/2,2),0)</f>
        <v>0</v>
      </c>
      <c r="R172" s="35" t="n">
        <f aca="false">Q172</f>
        <v>0</v>
      </c>
      <c r="S172" s="35" t="n">
        <f aca="false">L172+P172+Q172+R172</f>
        <v>0</v>
      </c>
      <c r="T172" s="34" t="str">
        <f aca="false">IF(A172="","",IFERROR(INDEX(Customers!$B$5:$B$204,MATCH(C172,Customers!$A$5:$A$204,0))&amp;"",""))</f>
        <v/>
      </c>
      <c r="U172" s="38" t="str">
        <f aca="false">IF(A172="","",IF(T172&lt;&gt;"","B2B",IF(AND(O172="Yes",SUMIF($A$5:$A$1004,A172,$L$5:$L$1004)+SUMIF($A$5:$A$1004,A172,$P$5:$P$1004)&gt;100000),"B2CL","B2CS")))</f>
        <v/>
      </c>
      <c r="V172" s="17" t="str">
        <f aca="false">IF(A172="","",TEXT(B172,"mmm-yyyy"))</f>
        <v/>
      </c>
    </row>
    <row r="173" customFormat="false" ht="15" hidden="false" customHeight="true" outlineLevel="0" collapsed="false">
      <c r="A173" s="24"/>
      <c r="B173" s="39"/>
      <c r="C173" s="24"/>
      <c r="D173" s="24"/>
      <c r="E173" s="40"/>
      <c r="F173" s="29"/>
      <c r="G173" s="30"/>
      <c r="H173" s="17" t="str">
        <f aca="false">IF(A173="","",A173&amp;"|"&amp;COUNTIF(A$5:A173,A173))</f>
        <v/>
      </c>
      <c r="I173" s="33" t="str">
        <f aca="false">IF(A173="","",IFERROR(INDEX(Items!$B$5:$B$304,MATCH(D173,Items!$A$5:$A$304,0))&amp;"",""))</f>
        <v/>
      </c>
      <c r="J173" s="34" t="str">
        <f aca="false">IF(A173="","",IFERROR(INDEX(Items!$C$5:$C$304,MATCH(D173,Items!$A$5:$A$304,0))&amp;"",""))</f>
        <v/>
      </c>
      <c r="K173" s="35" t="n">
        <f aca="false">IF(A173="",0,IF(ISNUMBER(F173),F173,IFERROR(INDEX(Items!$D$5:$D$304,MATCH(D173,Items!$A$5:$A$304,0)),0)))</f>
        <v>0</v>
      </c>
      <c r="L173" s="35" t="n">
        <f aca="false">ROUND(N(E173)*K173*(1-N(G173)),2)</f>
        <v>0</v>
      </c>
      <c r="M173" s="36" t="n">
        <f aca="false">IF(A173="",0,IFERROR(INDEX(Items!$E$5:$E$304,MATCH(D173,Items!$A$5:$A$304,0)),0))</f>
        <v>0</v>
      </c>
      <c r="N173" s="37" t="str">
        <f aca="false">IF(A173="","",IFERROR(INDEX(Customers!$E$5:$E$204,MATCH(C173,Customers!$A$5:$A$204,0)),"?"))</f>
        <v/>
      </c>
      <c r="O173" s="38" t="str">
        <f aca="false">IF(A173="","",IF(N173=Settings!$B$17,"No","Yes"))</f>
        <v/>
      </c>
      <c r="P173" s="35" t="n">
        <f aca="false">IF(O173="Yes",ROUND(L173*M173,2),0)</f>
        <v>0</v>
      </c>
      <c r="Q173" s="35" t="n">
        <f aca="false">IF(O173="No",ROUND(L173*M173/2,2),0)</f>
        <v>0</v>
      </c>
      <c r="R173" s="35" t="n">
        <f aca="false">Q173</f>
        <v>0</v>
      </c>
      <c r="S173" s="35" t="n">
        <f aca="false">L173+P173+Q173+R173</f>
        <v>0</v>
      </c>
      <c r="T173" s="34" t="str">
        <f aca="false">IF(A173="","",IFERROR(INDEX(Customers!$B$5:$B$204,MATCH(C173,Customers!$A$5:$A$204,0))&amp;"",""))</f>
        <v/>
      </c>
      <c r="U173" s="38" t="str">
        <f aca="false">IF(A173="","",IF(T173&lt;&gt;"","B2B",IF(AND(O173="Yes",SUMIF($A$5:$A$1004,A173,$L$5:$L$1004)+SUMIF($A$5:$A$1004,A173,$P$5:$P$1004)&gt;100000),"B2CL","B2CS")))</f>
        <v/>
      </c>
      <c r="V173" s="17" t="str">
        <f aca="false">IF(A173="","",TEXT(B173,"mmm-yyyy"))</f>
        <v/>
      </c>
    </row>
    <row r="174" customFormat="false" ht="15" hidden="false" customHeight="true" outlineLevel="0" collapsed="false">
      <c r="A174" s="24"/>
      <c r="B174" s="39"/>
      <c r="C174" s="24"/>
      <c r="D174" s="24"/>
      <c r="E174" s="40"/>
      <c r="F174" s="29"/>
      <c r="G174" s="30"/>
      <c r="H174" s="17" t="str">
        <f aca="false">IF(A174="","",A174&amp;"|"&amp;COUNTIF(A$5:A174,A174))</f>
        <v/>
      </c>
      <c r="I174" s="33" t="str">
        <f aca="false">IF(A174="","",IFERROR(INDEX(Items!$B$5:$B$304,MATCH(D174,Items!$A$5:$A$304,0))&amp;"",""))</f>
        <v/>
      </c>
      <c r="J174" s="34" t="str">
        <f aca="false">IF(A174="","",IFERROR(INDEX(Items!$C$5:$C$304,MATCH(D174,Items!$A$5:$A$304,0))&amp;"",""))</f>
        <v/>
      </c>
      <c r="K174" s="35" t="n">
        <f aca="false">IF(A174="",0,IF(ISNUMBER(F174),F174,IFERROR(INDEX(Items!$D$5:$D$304,MATCH(D174,Items!$A$5:$A$304,0)),0)))</f>
        <v>0</v>
      </c>
      <c r="L174" s="35" t="n">
        <f aca="false">ROUND(N(E174)*K174*(1-N(G174)),2)</f>
        <v>0</v>
      </c>
      <c r="M174" s="36" t="n">
        <f aca="false">IF(A174="",0,IFERROR(INDEX(Items!$E$5:$E$304,MATCH(D174,Items!$A$5:$A$304,0)),0))</f>
        <v>0</v>
      </c>
      <c r="N174" s="37" t="str">
        <f aca="false">IF(A174="","",IFERROR(INDEX(Customers!$E$5:$E$204,MATCH(C174,Customers!$A$5:$A$204,0)),"?"))</f>
        <v/>
      </c>
      <c r="O174" s="38" t="str">
        <f aca="false">IF(A174="","",IF(N174=Settings!$B$17,"No","Yes"))</f>
        <v/>
      </c>
      <c r="P174" s="35" t="n">
        <f aca="false">IF(O174="Yes",ROUND(L174*M174,2),0)</f>
        <v>0</v>
      </c>
      <c r="Q174" s="35" t="n">
        <f aca="false">IF(O174="No",ROUND(L174*M174/2,2),0)</f>
        <v>0</v>
      </c>
      <c r="R174" s="35" t="n">
        <f aca="false">Q174</f>
        <v>0</v>
      </c>
      <c r="S174" s="35" t="n">
        <f aca="false">L174+P174+Q174+R174</f>
        <v>0</v>
      </c>
      <c r="T174" s="34" t="str">
        <f aca="false">IF(A174="","",IFERROR(INDEX(Customers!$B$5:$B$204,MATCH(C174,Customers!$A$5:$A$204,0))&amp;"",""))</f>
        <v/>
      </c>
      <c r="U174" s="38" t="str">
        <f aca="false">IF(A174="","",IF(T174&lt;&gt;"","B2B",IF(AND(O174="Yes",SUMIF($A$5:$A$1004,A174,$L$5:$L$1004)+SUMIF($A$5:$A$1004,A174,$P$5:$P$1004)&gt;100000),"B2CL","B2CS")))</f>
        <v/>
      </c>
      <c r="V174" s="17" t="str">
        <f aca="false">IF(A174="","",TEXT(B174,"mmm-yyyy"))</f>
        <v/>
      </c>
    </row>
    <row r="175" customFormat="false" ht="15" hidden="false" customHeight="true" outlineLevel="0" collapsed="false">
      <c r="A175" s="24"/>
      <c r="B175" s="39"/>
      <c r="C175" s="24"/>
      <c r="D175" s="24"/>
      <c r="E175" s="40"/>
      <c r="F175" s="29"/>
      <c r="G175" s="30"/>
      <c r="H175" s="17" t="str">
        <f aca="false">IF(A175="","",A175&amp;"|"&amp;COUNTIF(A$5:A175,A175))</f>
        <v/>
      </c>
      <c r="I175" s="33" t="str">
        <f aca="false">IF(A175="","",IFERROR(INDEX(Items!$B$5:$B$304,MATCH(D175,Items!$A$5:$A$304,0))&amp;"",""))</f>
        <v/>
      </c>
      <c r="J175" s="34" t="str">
        <f aca="false">IF(A175="","",IFERROR(INDEX(Items!$C$5:$C$304,MATCH(D175,Items!$A$5:$A$304,0))&amp;"",""))</f>
        <v/>
      </c>
      <c r="K175" s="35" t="n">
        <f aca="false">IF(A175="",0,IF(ISNUMBER(F175),F175,IFERROR(INDEX(Items!$D$5:$D$304,MATCH(D175,Items!$A$5:$A$304,0)),0)))</f>
        <v>0</v>
      </c>
      <c r="L175" s="35" t="n">
        <f aca="false">ROUND(N(E175)*K175*(1-N(G175)),2)</f>
        <v>0</v>
      </c>
      <c r="M175" s="36" t="n">
        <f aca="false">IF(A175="",0,IFERROR(INDEX(Items!$E$5:$E$304,MATCH(D175,Items!$A$5:$A$304,0)),0))</f>
        <v>0</v>
      </c>
      <c r="N175" s="37" t="str">
        <f aca="false">IF(A175="","",IFERROR(INDEX(Customers!$E$5:$E$204,MATCH(C175,Customers!$A$5:$A$204,0)),"?"))</f>
        <v/>
      </c>
      <c r="O175" s="38" t="str">
        <f aca="false">IF(A175="","",IF(N175=Settings!$B$17,"No","Yes"))</f>
        <v/>
      </c>
      <c r="P175" s="35" t="n">
        <f aca="false">IF(O175="Yes",ROUND(L175*M175,2),0)</f>
        <v>0</v>
      </c>
      <c r="Q175" s="35" t="n">
        <f aca="false">IF(O175="No",ROUND(L175*M175/2,2),0)</f>
        <v>0</v>
      </c>
      <c r="R175" s="35" t="n">
        <f aca="false">Q175</f>
        <v>0</v>
      </c>
      <c r="S175" s="35" t="n">
        <f aca="false">L175+P175+Q175+R175</f>
        <v>0</v>
      </c>
      <c r="T175" s="34" t="str">
        <f aca="false">IF(A175="","",IFERROR(INDEX(Customers!$B$5:$B$204,MATCH(C175,Customers!$A$5:$A$204,0))&amp;"",""))</f>
        <v/>
      </c>
      <c r="U175" s="38" t="str">
        <f aca="false">IF(A175="","",IF(T175&lt;&gt;"","B2B",IF(AND(O175="Yes",SUMIF($A$5:$A$1004,A175,$L$5:$L$1004)+SUMIF($A$5:$A$1004,A175,$P$5:$P$1004)&gt;100000),"B2CL","B2CS")))</f>
        <v/>
      </c>
      <c r="V175" s="17" t="str">
        <f aca="false">IF(A175="","",TEXT(B175,"mmm-yyyy"))</f>
        <v/>
      </c>
    </row>
    <row r="176" customFormat="false" ht="15" hidden="false" customHeight="true" outlineLevel="0" collapsed="false">
      <c r="A176" s="24"/>
      <c r="B176" s="39"/>
      <c r="C176" s="24"/>
      <c r="D176" s="24"/>
      <c r="E176" s="40"/>
      <c r="F176" s="29"/>
      <c r="G176" s="30"/>
      <c r="H176" s="17" t="str">
        <f aca="false">IF(A176="","",A176&amp;"|"&amp;COUNTIF(A$5:A176,A176))</f>
        <v/>
      </c>
      <c r="I176" s="33" t="str">
        <f aca="false">IF(A176="","",IFERROR(INDEX(Items!$B$5:$B$304,MATCH(D176,Items!$A$5:$A$304,0))&amp;"",""))</f>
        <v/>
      </c>
      <c r="J176" s="34" t="str">
        <f aca="false">IF(A176="","",IFERROR(INDEX(Items!$C$5:$C$304,MATCH(D176,Items!$A$5:$A$304,0))&amp;"",""))</f>
        <v/>
      </c>
      <c r="K176" s="35" t="n">
        <f aca="false">IF(A176="",0,IF(ISNUMBER(F176),F176,IFERROR(INDEX(Items!$D$5:$D$304,MATCH(D176,Items!$A$5:$A$304,0)),0)))</f>
        <v>0</v>
      </c>
      <c r="L176" s="35" t="n">
        <f aca="false">ROUND(N(E176)*K176*(1-N(G176)),2)</f>
        <v>0</v>
      </c>
      <c r="M176" s="36" t="n">
        <f aca="false">IF(A176="",0,IFERROR(INDEX(Items!$E$5:$E$304,MATCH(D176,Items!$A$5:$A$304,0)),0))</f>
        <v>0</v>
      </c>
      <c r="N176" s="37" t="str">
        <f aca="false">IF(A176="","",IFERROR(INDEX(Customers!$E$5:$E$204,MATCH(C176,Customers!$A$5:$A$204,0)),"?"))</f>
        <v/>
      </c>
      <c r="O176" s="38" t="str">
        <f aca="false">IF(A176="","",IF(N176=Settings!$B$17,"No","Yes"))</f>
        <v/>
      </c>
      <c r="P176" s="35" t="n">
        <f aca="false">IF(O176="Yes",ROUND(L176*M176,2),0)</f>
        <v>0</v>
      </c>
      <c r="Q176" s="35" t="n">
        <f aca="false">IF(O176="No",ROUND(L176*M176/2,2),0)</f>
        <v>0</v>
      </c>
      <c r="R176" s="35" t="n">
        <f aca="false">Q176</f>
        <v>0</v>
      </c>
      <c r="S176" s="35" t="n">
        <f aca="false">L176+P176+Q176+R176</f>
        <v>0</v>
      </c>
      <c r="T176" s="34" t="str">
        <f aca="false">IF(A176="","",IFERROR(INDEX(Customers!$B$5:$B$204,MATCH(C176,Customers!$A$5:$A$204,0))&amp;"",""))</f>
        <v/>
      </c>
      <c r="U176" s="38" t="str">
        <f aca="false">IF(A176="","",IF(T176&lt;&gt;"","B2B",IF(AND(O176="Yes",SUMIF($A$5:$A$1004,A176,$L$5:$L$1004)+SUMIF($A$5:$A$1004,A176,$P$5:$P$1004)&gt;100000),"B2CL","B2CS")))</f>
        <v/>
      </c>
      <c r="V176" s="17" t="str">
        <f aca="false">IF(A176="","",TEXT(B176,"mmm-yyyy"))</f>
        <v/>
      </c>
    </row>
    <row r="177" customFormat="false" ht="15" hidden="false" customHeight="true" outlineLevel="0" collapsed="false">
      <c r="A177" s="24"/>
      <c r="B177" s="39"/>
      <c r="C177" s="24"/>
      <c r="D177" s="24"/>
      <c r="E177" s="40"/>
      <c r="F177" s="29"/>
      <c r="G177" s="30"/>
      <c r="H177" s="17" t="str">
        <f aca="false">IF(A177="","",A177&amp;"|"&amp;COUNTIF(A$5:A177,A177))</f>
        <v/>
      </c>
      <c r="I177" s="33" t="str">
        <f aca="false">IF(A177="","",IFERROR(INDEX(Items!$B$5:$B$304,MATCH(D177,Items!$A$5:$A$304,0))&amp;"",""))</f>
        <v/>
      </c>
      <c r="J177" s="34" t="str">
        <f aca="false">IF(A177="","",IFERROR(INDEX(Items!$C$5:$C$304,MATCH(D177,Items!$A$5:$A$304,0))&amp;"",""))</f>
        <v/>
      </c>
      <c r="K177" s="35" t="n">
        <f aca="false">IF(A177="",0,IF(ISNUMBER(F177),F177,IFERROR(INDEX(Items!$D$5:$D$304,MATCH(D177,Items!$A$5:$A$304,0)),0)))</f>
        <v>0</v>
      </c>
      <c r="L177" s="35" t="n">
        <f aca="false">ROUND(N(E177)*K177*(1-N(G177)),2)</f>
        <v>0</v>
      </c>
      <c r="M177" s="36" t="n">
        <f aca="false">IF(A177="",0,IFERROR(INDEX(Items!$E$5:$E$304,MATCH(D177,Items!$A$5:$A$304,0)),0))</f>
        <v>0</v>
      </c>
      <c r="N177" s="37" t="str">
        <f aca="false">IF(A177="","",IFERROR(INDEX(Customers!$E$5:$E$204,MATCH(C177,Customers!$A$5:$A$204,0)),"?"))</f>
        <v/>
      </c>
      <c r="O177" s="38" t="str">
        <f aca="false">IF(A177="","",IF(N177=Settings!$B$17,"No","Yes"))</f>
        <v/>
      </c>
      <c r="P177" s="35" t="n">
        <f aca="false">IF(O177="Yes",ROUND(L177*M177,2),0)</f>
        <v>0</v>
      </c>
      <c r="Q177" s="35" t="n">
        <f aca="false">IF(O177="No",ROUND(L177*M177/2,2),0)</f>
        <v>0</v>
      </c>
      <c r="R177" s="35" t="n">
        <f aca="false">Q177</f>
        <v>0</v>
      </c>
      <c r="S177" s="35" t="n">
        <f aca="false">L177+P177+Q177+R177</f>
        <v>0</v>
      </c>
      <c r="T177" s="34" t="str">
        <f aca="false">IF(A177="","",IFERROR(INDEX(Customers!$B$5:$B$204,MATCH(C177,Customers!$A$5:$A$204,0))&amp;"",""))</f>
        <v/>
      </c>
      <c r="U177" s="38" t="str">
        <f aca="false">IF(A177="","",IF(T177&lt;&gt;"","B2B",IF(AND(O177="Yes",SUMIF($A$5:$A$1004,A177,$L$5:$L$1004)+SUMIF($A$5:$A$1004,A177,$P$5:$P$1004)&gt;100000),"B2CL","B2CS")))</f>
        <v/>
      </c>
      <c r="V177" s="17" t="str">
        <f aca="false">IF(A177="","",TEXT(B177,"mmm-yyyy"))</f>
        <v/>
      </c>
    </row>
    <row r="178" customFormat="false" ht="15" hidden="false" customHeight="true" outlineLevel="0" collapsed="false">
      <c r="A178" s="24"/>
      <c r="B178" s="39"/>
      <c r="C178" s="24"/>
      <c r="D178" s="24"/>
      <c r="E178" s="40"/>
      <c r="F178" s="29"/>
      <c r="G178" s="30"/>
      <c r="H178" s="17" t="str">
        <f aca="false">IF(A178="","",A178&amp;"|"&amp;COUNTIF(A$5:A178,A178))</f>
        <v/>
      </c>
      <c r="I178" s="33" t="str">
        <f aca="false">IF(A178="","",IFERROR(INDEX(Items!$B$5:$B$304,MATCH(D178,Items!$A$5:$A$304,0))&amp;"",""))</f>
        <v/>
      </c>
      <c r="J178" s="34" t="str">
        <f aca="false">IF(A178="","",IFERROR(INDEX(Items!$C$5:$C$304,MATCH(D178,Items!$A$5:$A$304,0))&amp;"",""))</f>
        <v/>
      </c>
      <c r="K178" s="35" t="n">
        <f aca="false">IF(A178="",0,IF(ISNUMBER(F178),F178,IFERROR(INDEX(Items!$D$5:$D$304,MATCH(D178,Items!$A$5:$A$304,0)),0)))</f>
        <v>0</v>
      </c>
      <c r="L178" s="35" t="n">
        <f aca="false">ROUND(N(E178)*K178*(1-N(G178)),2)</f>
        <v>0</v>
      </c>
      <c r="M178" s="36" t="n">
        <f aca="false">IF(A178="",0,IFERROR(INDEX(Items!$E$5:$E$304,MATCH(D178,Items!$A$5:$A$304,0)),0))</f>
        <v>0</v>
      </c>
      <c r="N178" s="37" t="str">
        <f aca="false">IF(A178="","",IFERROR(INDEX(Customers!$E$5:$E$204,MATCH(C178,Customers!$A$5:$A$204,0)),"?"))</f>
        <v/>
      </c>
      <c r="O178" s="38" t="str">
        <f aca="false">IF(A178="","",IF(N178=Settings!$B$17,"No","Yes"))</f>
        <v/>
      </c>
      <c r="P178" s="35" t="n">
        <f aca="false">IF(O178="Yes",ROUND(L178*M178,2),0)</f>
        <v>0</v>
      </c>
      <c r="Q178" s="35" t="n">
        <f aca="false">IF(O178="No",ROUND(L178*M178/2,2),0)</f>
        <v>0</v>
      </c>
      <c r="R178" s="35" t="n">
        <f aca="false">Q178</f>
        <v>0</v>
      </c>
      <c r="S178" s="35" t="n">
        <f aca="false">L178+P178+Q178+R178</f>
        <v>0</v>
      </c>
      <c r="T178" s="34" t="str">
        <f aca="false">IF(A178="","",IFERROR(INDEX(Customers!$B$5:$B$204,MATCH(C178,Customers!$A$5:$A$204,0))&amp;"",""))</f>
        <v/>
      </c>
      <c r="U178" s="38" t="str">
        <f aca="false">IF(A178="","",IF(T178&lt;&gt;"","B2B",IF(AND(O178="Yes",SUMIF($A$5:$A$1004,A178,$L$5:$L$1004)+SUMIF($A$5:$A$1004,A178,$P$5:$P$1004)&gt;100000),"B2CL","B2CS")))</f>
        <v/>
      </c>
      <c r="V178" s="17" t="str">
        <f aca="false">IF(A178="","",TEXT(B178,"mmm-yyyy"))</f>
        <v/>
      </c>
    </row>
    <row r="179" customFormat="false" ht="15" hidden="false" customHeight="true" outlineLevel="0" collapsed="false">
      <c r="A179" s="24"/>
      <c r="B179" s="39"/>
      <c r="C179" s="24"/>
      <c r="D179" s="24"/>
      <c r="E179" s="40"/>
      <c r="F179" s="29"/>
      <c r="G179" s="30"/>
      <c r="H179" s="17" t="str">
        <f aca="false">IF(A179="","",A179&amp;"|"&amp;COUNTIF(A$5:A179,A179))</f>
        <v/>
      </c>
      <c r="I179" s="33" t="str">
        <f aca="false">IF(A179="","",IFERROR(INDEX(Items!$B$5:$B$304,MATCH(D179,Items!$A$5:$A$304,0))&amp;"",""))</f>
        <v/>
      </c>
      <c r="J179" s="34" t="str">
        <f aca="false">IF(A179="","",IFERROR(INDEX(Items!$C$5:$C$304,MATCH(D179,Items!$A$5:$A$304,0))&amp;"",""))</f>
        <v/>
      </c>
      <c r="K179" s="35" t="n">
        <f aca="false">IF(A179="",0,IF(ISNUMBER(F179),F179,IFERROR(INDEX(Items!$D$5:$D$304,MATCH(D179,Items!$A$5:$A$304,0)),0)))</f>
        <v>0</v>
      </c>
      <c r="L179" s="35" t="n">
        <f aca="false">ROUND(N(E179)*K179*(1-N(G179)),2)</f>
        <v>0</v>
      </c>
      <c r="M179" s="36" t="n">
        <f aca="false">IF(A179="",0,IFERROR(INDEX(Items!$E$5:$E$304,MATCH(D179,Items!$A$5:$A$304,0)),0))</f>
        <v>0</v>
      </c>
      <c r="N179" s="37" t="str">
        <f aca="false">IF(A179="","",IFERROR(INDEX(Customers!$E$5:$E$204,MATCH(C179,Customers!$A$5:$A$204,0)),"?"))</f>
        <v/>
      </c>
      <c r="O179" s="38" t="str">
        <f aca="false">IF(A179="","",IF(N179=Settings!$B$17,"No","Yes"))</f>
        <v/>
      </c>
      <c r="P179" s="35" t="n">
        <f aca="false">IF(O179="Yes",ROUND(L179*M179,2),0)</f>
        <v>0</v>
      </c>
      <c r="Q179" s="35" t="n">
        <f aca="false">IF(O179="No",ROUND(L179*M179/2,2),0)</f>
        <v>0</v>
      </c>
      <c r="R179" s="35" t="n">
        <f aca="false">Q179</f>
        <v>0</v>
      </c>
      <c r="S179" s="35" t="n">
        <f aca="false">L179+P179+Q179+R179</f>
        <v>0</v>
      </c>
      <c r="T179" s="34" t="str">
        <f aca="false">IF(A179="","",IFERROR(INDEX(Customers!$B$5:$B$204,MATCH(C179,Customers!$A$5:$A$204,0))&amp;"",""))</f>
        <v/>
      </c>
      <c r="U179" s="38" t="str">
        <f aca="false">IF(A179="","",IF(T179&lt;&gt;"","B2B",IF(AND(O179="Yes",SUMIF($A$5:$A$1004,A179,$L$5:$L$1004)+SUMIF($A$5:$A$1004,A179,$P$5:$P$1004)&gt;100000),"B2CL","B2CS")))</f>
        <v/>
      </c>
      <c r="V179" s="17" t="str">
        <f aca="false">IF(A179="","",TEXT(B179,"mmm-yyyy"))</f>
        <v/>
      </c>
    </row>
    <row r="180" customFormat="false" ht="15" hidden="false" customHeight="true" outlineLevel="0" collapsed="false">
      <c r="A180" s="24"/>
      <c r="B180" s="39"/>
      <c r="C180" s="24"/>
      <c r="D180" s="24"/>
      <c r="E180" s="40"/>
      <c r="F180" s="29"/>
      <c r="G180" s="30"/>
      <c r="H180" s="17" t="str">
        <f aca="false">IF(A180="","",A180&amp;"|"&amp;COUNTIF(A$5:A180,A180))</f>
        <v/>
      </c>
      <c r="I180" s="33" t="str">
        <f aca="false">IF(A180="","",IFERROR(INDEX(Items!$B$5:$B$304,MATCH(D180,Items!$A$5:$A$304,0))&amp;"",""))</f>
        <v/>
      </c>
      <c r="J180" s="34" t="str">
        <f aca="false">IF(A180="","",IFERROR(INDEX(Items!$C$5:$C$304,MATCH(D180,Items!$A$5:$A$304,0))&amp;"",""))</f>
        <v/>
      </c>
      <c r="K180" s="35" t="n">
        <f aca="false">IF(A180="",0,IF(ISNUMBER(F180),F180,IFERROR(INDEX(Items!$D$5:$D$304,MATCH(D180,Items!$A$5:$A$304,0)),0)))</f>
        <v>0</v>
      </c>
      <c r="L180" s="35" t="n">
        <f aca="false">ROUND(N(E180)*K180*(1-N(G180)),2)</f>
        <v>0</v>
      </c>
      <c r="M180" s="36" t="n">
        <f aca="false">IF(A180="",0,IFERROR(INDEX(Items!$E$5:$E$304,MATCH(D180,Items!$A$5:$A$304,0)),0))</f>
        <v>0</v>
      </c>
      <c r="N180" s="37" t="str">
        <f aca="false">IF(A180="","",IFERROR(INDEX(Customers!$E$5:$E$204,MATCH(C180,Customers!$A$5:$A$204,0)),"?"))</f>
        <v/>
      </c>
      <c r="O180" s="38" t="str">
        <f aca="false">IF(A180="","",IF(N180=Settings!$B$17,"No","Yes"))</f>
        <v/>
      </c>
      <c r="P180" s="35" t="n">
        <f aca="false">IF(O180="Yes",ROUND(L180*M180,2),0)</f>
        <v>0</v>
      </c>
      <c r="Q180" s="35" t="n">
        <f aca="false">IF(O180="No",ROUND(L180*M180/2,2),0)</f>
        <v>0</v>
      </c>
      <c r="R180" s="35" t="n">
        <f aca="false">Q180</f>
        <v>0</v>
      </c>
      <c r="S180" s="35" t="n">
        <f aca="false">L180+P180+Q180+R180</f>
        <v>0</v>
      </c>
      <c r="T180" s="34" t="str">
        <f aca="false">IF(A180="","",IFERROR(INDEX(Customers!$B$5:$B$204,MATCH(C180,Customers!$A$5:$A$204,0))&amp;"",""))</f>
        <v/>
      </c>
      <c r="U180" s="38" t="str">
        <f aca="false">IF(A180="","",IF(T180&lt;&gt;"","B2B",IF(AND(O180="Yes",SUMIF($A$5:$A$1004,A180,$L$5:$L$1004)+SUMIF($A$5:$A$1004,A180,$P$5:$P$1004)&gt;100000),"B2CL","B2CS")))</f>
        <v/>
      </c>
      <c r="V180" s="17" t="str">
        <f aca="false">IF(A180="","",TEXT(B180,"mmm-yyyy"))</f>
        <v/>
      </c>
    </row>
    <row r="181" customFormat="false" ht="15" hidden="false" customHeight="true" outlineLevel="0" collapsed="false">
      <c r="A181" s="24"/>
      <c r="B181" s="39"/>
      <c r="C181" s="24"/>
      <c r="D181" s="24"/>
      <c r="E181" s="40"/>
      <c r="F181" s="29"/>
      <c r="G181" s="30"/>
      <c r="H181" s="17" t="str">
        <f aca="false">IF(A181="","",A181&amp;"|"&amp;COUNTIF(A$5:A181,A181))</f>
        <v/>
      </c>
      <c r="I181" s="33" t="str">
        <f aca="false">IF(A181="","",IFERROR(INDEX(Items!$B$5:$B$304,MATCH(D181,Items!$A$5:$A$304,0))&amp;"",""))</f>
        <v/>
      </c>
      <c r="J181" s="34" t="str">
        <f aca="false">IF(A181="","",IFERROR(INDEX(Items!$C$5:$C$304,MATCH(D181,Items!$A$5:$A$304,0))&amp;"",""))</f>
        <v/>
      </c>
      <c r="K181" s="35" t="n">
        <f aca="false">IF(A181="",0,IF(ISNUMBER(F181),F181,IFERROR(INDEX(Items!$D$5:$D$304,MATCH(D181,Items!$A$5:$A$304,0)),0)))</f>
        <v>0</v>
      </c>
      <c r="L181" s="35" t="n">
        <f aca="false">ROUND(N(E181)*K181*(1-N(G181)),2)</f>
        <v>0</v>
      </c>
      <c r="M181" s="36" t="n">
        <f aca="false">IF(A181="",0,IFERROR(INDEX(Items!$E$5:$E$304,MATCH(D181,Items!$A$5:$A$304,0)),0))</f>
        <v>0</v>
      </c>
      <c r="N181" s="37" t="str">
        <f aca="false">IF(A181="","",IFERROR(INDEX(Customers!$E$5:$E$204,MATCH(C181,Customers!$A$5:$A$204,0)),"?"))</f>
        <v/>
      </c>
      <c r="O181" s="38" t="str">
        <f aca="false">IF(A181="","",IF(N181=Settings!$B$17,"No","Yes"))</f>
        <v/>
      </c>
      <c r="P181" s="35" t="n">
        <f aca="false">IF(O181="Yes",ROUND(L181*M181,2),0)</f>
        <v>0</v>
      </c>
      <c r="Q181" s="35" t="n">
        <f aca="false">IF(O181="No",ROUND(L181*M181/2,2),0)</f>
        <v>0</v>
      </c>
      <c r="R181" s="35" t="n">
        <f aca="false">Q181</f>
        <v>0</v>
      </c>
      <c r="S181" s="35" t="n">
        <f aca="false">L181+P181+Q181+R181</f>
        <v>0</v>
      </c>
      <c r="T181" s="34" t="str">
        <f aca="false">IF(A181="","",IFERROR(INDEX(Customers!$B$5:$B$204,MATCH(C181,Customers!$A$5:$A$204,0))&amp;"",""))</f>
        <v/>
      </c>
      <c r="U181" s="38" t="str">
        <f aca="false">IF(A181="","",IF(T181&lt;&gt;"","B2B",IF(AND(O181="Yes",SUMIF($A$5:$A$1004,A181,$L$5:$L$1004)+SUMIF($A$5:$A$1004,A181,$P$5:$P$1004)&gt;100000),"B2CL","B2CS")))</f>
        <v/>
      </c>
      <c r="V181" s="17" t="str">
        <f aca="false">IF(A181="","",TEXT(B181,"mmm-yyyy"))</f>
        <v/>
      </c>
    </row>
    <row r="182" customFormat="false" ht="15" hidden="false" customHeight="true" outlineLevel="0" collapsed="false">
      <c r="A182" s="24"/>
      <c r="B182" s="39"/>
      <c r="C182" s="24"/>
      <c r="D182" s="24"/>
      <c r="E182" s="40"/>
      <c r="F182" s="29"/>
      <c r="G182" s="30"/>
      <c r="H182" s="17" t="str">
        <f aca="false">IF(A182="","",A182&amp;"|"&amp;COUNTIF(A$5:A182,A182))</f>
        <v/>
      </c>
      <c r="I182" s="33" t="str">
        <f aca="false">IF(A182="","",IFERROR(INDEX(Items!$B$5:$B$304,MATCH(D182,Items!$A$5:$A$304,0))&amp;"",""))</f>
        <v/>
      </c>
      <c r="J182" s="34" t="str">
        <f aca="false">IF(A182="","",IFERROR(INDEX(Items!$C$5:$C$304,MATCH(D182,Items!$A$5:$A$304,0))&amp;"",""))</f>
        <v/>
      </c>
      <c r="K182" s="35" t="n">
        <f aca="false">IF(A182="",0,IF(ISNUMBER(F182),F182,IFERROR(INDEX(Items!$D$5:$D$304,MATCH(D182,Items!$A$5:$A$304,0)),0)))</f>
        <v>0</v>
      </c>
      <c r="L182" s="35" t="n">
        <f aca="false">ROUND(N(E182)*K182*(1-N(G182)),2)</f>
        <v>0</v>
      </c>
      <c r="M182" s="36" t="n">
        <f aca="false">IF(A182="",0,IFERROR(INDEX(Items!$E$5:$E$304,MATCH(D182,Items!$A$5:$A$304,0)),0))</f>
        <v>0</v>
      </c>
      <c r="N182" s="37" t="str">
        <f aca="false">IF(A182="","",IFERROR(INDEX(Customers!$E$5:$E$204,MATCH(C182,Customers!$A$5:$A$204,0)),"?"))</f>
        <v/>
      </c>
      <c r="O182" s="38" t="str">
        <f aca="false">IF(A182="","",IF(N182=Settings!$B$17,"No","Yes"))</f>
        <v/>
      </c>
      <c r="P182" s="35" t="n">
        <f aca="false">IF(O182="Yes",ROUND(L182*M182,2),0)</f>
        <v>0</v>
      </c>
      <c r="Q182" s="35" t="n">
        <f aca="false">IF(O182="No",ROUND(L182*M182/2,2),0)</f>
        <v>0</v>
      </c>
      <c r="R182" s="35" t="n">
        <f aca="false">Q182</f>
        <v>0</v>
      </c>
      <c r="S182" s="35" t="n">
        <f aca="false">L182+P182+Q182+R182</f>
        <v>0</v>
      </c>
      <c r="T182" s="34" t="str">
        <f aca="false">IF(A182="","",IFERROR(INDEX(Customers!$B$5:$B$204,MATCH(C182,Customers!$A$5:$A$204,0))&amp;"",""))</f>
        <v/>
      </c>
      <c r="U182" s="38" t="str">
        <f aca="false">IF(A182="","",IF(T182&lt;&gt;"","B2B",IF(AND(O182="Yes",SUMIF($A$5:$A$1004,A182,$L$5:$L$1004)+SUMIF($A$5:$A$1004,A182,$P$5:$P$1004)&gt;100000),"B2CL","B2CS")))</f>
        <v/>
      </c>
      <c r="V182" s="17" t="str">
        <f aca="false">IF(A182="","",TEXT(B182,"mmm-yyyy"))</f>
        <v/>
      </c>
    </row>
    <row r="183" customFormat="false" ht="15" hidden="false" customHeight="true" outlineLevel="0" collapsed="false">
      <c r="A183" s="24"/>
      <c r="B183" s="39"/>
      <c r="C183" s="24"/>
      <c r="D183" s="24"/>
      <c r="E183" s="40"/>
      <c r="F183" s="29"/>
      <c r="G183" s="30"/>
      <c r="H183" s="17" t="str">
        <f aca="false">IF(A183="","",A183&amp;"|"&amp;COUNTIF(A$5:A183,A183))</f>
        <v/>
      </c>
      <c r="I183" s="33" t="str">
        <f aca="false">IF(A183="","",IFERROR(INDEX(Items!$B$5:$B$304,MATCH(D183,Items!$A$5:$A$304,0))&amp;"",""))</f>
        <v/>
      </c>
      <c r="J183" s="34" t="str">
        <f aca="false">IF(A183="","",IFERROR(INDEX(Items!$C$5:$C$304,MATCH(D183,Items!$A$5:$A$304,0))&amp;"",""))</f>
        <v/>
      </c>
      <c r="K183" s="35" t="n">
        <f aca="false">IF(A183="",0,IF(ISNUMBER(F183),F183,IFERROR(INDEX(Items!$D$5:$D$304,MATCH(D183,Items!$A$5:$A$304,0)),0)))</f>
        <v>0</v>
      </c>
      <c r="L183" s="35" t="n">
        <f aca="false">ROUND(N(E183)*K183*(1-N(G183)),2)</f>
        <v>0</v>
      </c>
      <c r="M183" s="36" t="n">
        <f aca="false">IF(A183="",0,IFERROR(INDEX(Items!$E$5:$E$304,MATCH(D183,Items!$A$5:$A$304,0)),0))</f>
        <v>0</v>
      </c>
      <c r="N183" s="37" t="str">
        <f aca="false">IF(A183="","",IFERROR(INDEX(Customers!$E$5:$E$204,MATCH(C183,Customers!$A$5:$A$204,0)),"?"))</f>
        <v/>
      </c>
      <c r="O183" s="38" t="str">
        <f aca="false">IF(A183="","",IF(N183=Settings!$B$17,"No","Yes"))</f>
        <v/>
      </c>
      <c r="P183" s="35" t="n">
        <f aca="false">IF(O183="Yes",ROUND(L183*M183,2),0)</f>
        <v>0</v>
      </c>
      <c r="Q183" s="35" t="n">
        <f aca="false">IF(O183="No",ROUND(L183*M183/2,2),0)</f>
        <v>0</v>
      </c>
      <c r="R183" s="35" t="n">
        <f aca="false">Q183</f>
        <v>0</v>
      </c>
      <c r="S183" s="35" t="n">
        <f aca="false">L183+P183+Q183+R183</f>
        <v>0</v>
      </c>
      <c r="T183" s="34" t="str">
        <f aca="false">IF(A183="","",IFERROR(INDEX(Customers!$B$5:$B$204,MATCH(C183,Customers!$A$5:$A$204,0))&amp;"",""))</f>
        <v/>
      </c>
      <c r="U183" s="38" t="str">
        <f aca="false">IF(A183="","",IF(T183&lt;&gt;"","B2B",IF(AND(O183="Yes",SUMIF($A$5:$A$1004,A183,$L$5:$L$1004)+SUMIF($A$5:$A$1004,A183,$P$5:$P$1004)&gt;100000),"B2CL","B2CS")))</f>
        <v/>
      </c>
      <c r="V183" s="17" t="str">
        <f aca="false">IF(A183="","",TEXT(B183,"mmm-yyyy"))</f>
        <v/>
      </c>
    </row>
    <row r="184" customFormat="false" ht="15" hidden="false" customHeight="true" outlineLevel="0" collapsed="false">
      <c r="A184" s="24"/>
      <c r="B184" s="39"/>
      <c r="C184" s="24"/>
      <c r="D184" s="24"/>
      <c r="E184" s="40"/>
      <c r="F184" s="29"/>
      <c r="G184" s="30"/>
      <c r="H184" s="17" t="str">
        <f aca="false">IF(A184="","",A184&amp;"|"&amp;COUNTIF(A$5:A184,A184))</f>
        <v/>
      </c>
      <c r="I184" s="33" t="str">
        <f aca="false">IF(A184="","",IFERROR(INDEX(Items!$B$5:$B$304,MATCH(D184,Items!$A$5:$A$304,0))&amp;"",""))</f>
        <v/>
      </c>
      <c r="J184" s="34" t="str">
        <f aca="false">IF(A184="","",IFERROR(INDEX(Items!$C$5:$C$304,MATCH(D184,Items!$A$5:$A$304,0))&amp;"",""))</f>
        <v/>
      </c>
      <c r="K184" s="35" t="n">
        <f aca="false">IF(A184="",0,IF(ISNUMBER(F184),F184,IFERROR(INDEX(Items!$D$5:$D$304,MATCH(D184,Items!$A$5:$A$304,0)),0)))</f>
        <v>0</v>
      </c>
      <c r="L184" s="35" t="n">
        <f aca="false">ROUND(N(E184)*K184*(1-N(G184)),2)</f>
        <v>0</v>
      </c>
      <c r="M184" s="36" t="n">
        <f aca="false">IF(A184="",0,IFERROR(INDEX(Items!$E$5:$E$304,MATCH(D184,Items!$A$5:$A$304,0)),0))</f>
        <v>0</v>
      </c>
      <c r="N184" s="37" t="str">
        <f aca="false">IF(A184="","",IFERROR(INDEX(Customers!$E$5:$E$204,MATCH(C184,Customers!$A$5:$A$204,0)),"?"))</f>
        <v/>
      </c>
      <c r="O184" s="38" t="str">
        <f aca="false">IF(A184="","",IF(N184=Settings!$B$17,"No","Yes"))</f>
        <v/>
      </c>
      <c r="P184" s="35" t="n">
        <f aca="false">IF(O184="Yes",ROUND(L184*M184,2),0)</f>
        <v>0</v>
      </c>
      <c r="Q184" s="35" t="n">
        <f aca="false">IF(O184="No",ROUND(L184*M184/2,2),0)</f>
        <v>0</v>
      </c>
      <c r="R184" s="35" t="n">
        <f aca="false">Q184</f>
        <v>0</v>
      </c>
      <c r="S184" s="35" t="n">
        <f aca="false">L184+P184+Q184+R184</f>
        <v>0</v>
      </c>
      <c r="T184" s="34" t="str">
        <f aca="false">IF(A184="","",IFERROR(INDEX(Customers!$B$5:$B$204,MATCH(C184,Customers!$A$5:$A$204,0))&amp;"",""))</f>
        <v/>
      </c>
      <c r="U184" s="38" t="str">
        <f aca="false">IF(A184="","",IF(T184&lt;&gt;"","B2B",IF(AND(O184="Yes",SUMIF($A$5:$A$1004,A184,$L$5:$L$1004)+SUMIF($A$5:$A$1004,A184,$P$5:$P$1004)&gt;100000),"B2CL","B2CS")))</f>
        <v/>
      </c>
      <c r="V184" s="17" t="str">
        <f aca="false">IF(A184="","",TEXT(B184,"mmm-yyyy"))</f>
        <v/>
      </c>
    </row>
    <row r="185" customFormat="false" ht="15" hidden="false" customHeight="true" outlineLevel="0" collapsed="false">
      <c r="A185" s="24"/>
      <c r="B185" s="39"/>
      <c r="C185" s="24"/>
      <c r="D185" s="24"/>
      <c r="E185" s="40"/>
      <c r="F185" s="29"/>
      <c r="G185" s="30"/>
      <c r="H185" s="17" t="str">
        <f aca="false">IF(A185="","",A185&amp;"|"&amp;COUNTIF(A$5:A185,A185))</f>
        <v/>
      </c>
      <c r="I185" s="33" t="str">
        <f aca="false">IF(A185="","",IFERROR(INDEX(Items!$B$5:$B$304,MATCH(D185,Items!$A$5:$A$304,0))&amp;"",""))</f>
        <v/>
      </c>
      <c r="J185" s="34" t="str">
        <f aca="false">IF(A185="","",IFERROR(INDEX(Items!$C$5:$C$304,MATCH(D185,Items!$A$5:$A$304,0))&amp;"",""))</f>
        <v/>
      </c>
      <c r="K185" s="35" t="n">
        <f aca="false">IF(A185="",0,IF(ISNUMBER(F185),F185,IFERROR(INDEX(Items!$D$5:$D$304,MATCH(D185,Items!$A$5:$A$304,0)),0)))</f>
        <v>0</v>
      </c>
      <c r="L185" s="35" t="n">
        <f aca="false">ROUND(N(E185)*K185*(1-N(G185)),2)</f>
        <v>0</v>
      </c>
      <c r="M185" s="36" t="n">
        <f aca="false">IF(A185="",0,IFERROR(INDEX(Items!$E$5:$E$304,MATCH(D185,Items!$A$5:$A$304,0)),0))</f>
        <v>0</v>
      </c>
      <c r="N185" s="37" t="str">
        <f aca="false">IF(A185="","",IFERROR(INDEX(Customers!$E$5:$E$204,MATCH(C185,Customers!$A$5:$A$204,0)),"?"))</f>
        <v/>
      </c>
      <c r="O185" s="38" t="str">
        <f aca="false">IF(A185="","",IF(N185=Settings!$B$17,"No","Yes"))</f>
        <v/>
      </c>
      <c r="P185" s="35" t="n">
        <f aca="false">IF(O185="Yes",ROUND(L185*M185,2),0)</f>
        <v>0</v>
      </c>
      <c r="Q185" s="35" t="n">
        <f aca="false">IF(O185="No",ROUND(L185*M185/2,2),0)</f>
        <v>0</v>
      </c>
      <c r="R185" s="35" t="n">
        <f aca="false">Q185</f>
        <v>0</v>
      </c>
      <c r="S185" s="35" t="n">
        <f aca="false">L185+P185+Q185+R185</f>
        <v>0</v>
      </c>
      <c r="T185" s="34" t="str">
        <f aca="false">IF(A185="","",IFERROR(INDEX(Customers!$B$5:$B$204,MATCH(C185,Customers!$A$5:$A$204,0))&amp;"",""))</f>
        <v/>
      </c>
      <c r="U185" s="38" t="str">
        <f aca="false">IF(A185="","",IF(T185&lt;&gt;"","B2B",IF(AND(O185="Yes",SUMIF($A$5:$A$1004,A185,$L$5:$L$1004)+SUMIF($A$5:$A$1004,A185,$P$5:$P$1004)&gt;100000),"B2CL","B2CS")))</f>
        <v/>
      </c>
      <c r="V185" s="17" t="str">
        <f aca="false">IF(A185="","",TEXT(B185,"mmm-yyyy"))</f>
        <v/>
      </c>
    </row>
    <row r="186" customFormat="false" ht="15" hidden="false" customHeight="true" outlineLevel="0" collapsed="false">
      <c r="A186" s="24"/>
      <c r="B186" s="39"/>
      <c r="C186" s="24"/>
      <c r="D186" s="24"/>
      <c r="E186" s="40"/>
      <c r="F186" s="29"/>
      <c r="G186" s="30"/>
      <c r="H186" s="17" t="str">
        <f aca="false">IF(A186="","",A186&amp;"|"&amp;COUNTIF(A$5:A186,A186))</f>
        <v/>
      </c>
      <c r="I186" s="33" t="str">
        <f aca="false">IF(A186="","",IFERROR(INDEX(Items!$B$5:$B$304,MATCH(D186,Items!$A$5:$A$304,0))&amp;"",""))</f>
        <v/>
      </c>
      <c r="J186" s="34" t="str">
        <f aca="false">IF(A186="","",IFERROR(INDEX(Items!$C$5:$C$304,MATCH(D186,Items!$A$5:$A$304,0))&amp;"",""))</f>
        <v/>
      </c>
      <c r="K186" s="35" t="n">
        <f aca="false">IF(A186="",0,IF(ISNUMBER(F186),F186,IFERROR(INDEX(Items!$D$5:$D$304,MATCH(D186,Items!$A$5:$A$304,0)),0)))</f>
        <v>0</v>
      </c>
      <c r="L186" s="35" t="n">
        <f aca="false">ROUND(N(E186)*K186*(1-N(G186)),2)</f>
        <v>0</v>
      </c>
      <c r="M186" s="36" t="n">
        <f aca="false">IF(A186="",0,IFERROR(INDEX(Items!$E$5:$E$304,MATCH(D186,Items!$A$5:$A$304,0)),0))</f>
        <v>0</v>
      </c>
      <c r="N186" s="37" t="str">
        <f aca="false">IF(A186="","",IFERROR(INDEX(Customers!$E$5:$E$204,MATCH(C186,Customers!$A$5:$A$204,0)),"?"))</f>
        <v/>
      </c>
      <c r="O186" s="38" t="str">
        <f aca="false">IF(A186="","",IF(N186=Settings!$B$17,"No","Yes"))</f>
        <v/>
      </c>
      <c r="P186" s="35" t="n">
        <f aca="false">IF(O186="Yes",ROUND(L186*M186,2),0)</f>
        <v>0</v>
      </c>
      <c r="Q186" s="35" t="n">
        <f aca="false">IF(O186="No",ROUND(L186*M186/2,2),0)</f>
        <v>0</v>
      </c>
      <c r="R186" s="35" t="n">
        <f aca="false">Q186</f>
        <v>0</v>
      </c>
      <c r="S186" s="35" t="n">
        <f aca="false">L186+P186+Q186+R186</f>
        <v>0</v>
      </c>
      <c r="T186" s="34" t="str">
        <f aca="false">IF(A186="","",IFERROR(INDEX(Customers!$B$5:$B$204,MATCH(C186,Customers!$A$5:$A$204,0))&amp;"",""))</f>
        <v/>
      </c>
      <c r="U186" s="38" t="str">
        <f aca="false">IF(A186="","",IF(T186&lt;&gt;"","B2B",IF(AND(O186="Yes",SUMIF($A$5:$A$1004,A186,$L$5:$L$1004)+SUMIF($A$5:$A$1004,A186,$P$5:$P$1004)&gt;100000),"B2CL","B2CS")))</f>
        <v/>
      </c>
      <c r="V186" s="17" t="str">
        <f aca="false">IF(A186="","",TEXT(B186,"mmm-yyyy"))</f>
        <v/>
      </c>
    </row>
    <row r="187" customFormat="false" ht="15" hidden="false" customHeight="true" outlineLevel="0" collapsed="false">
      <c r="A187" s="24"/>
      <c r="B187" s="39"/>
      <c r="C187" s="24"/>
      <c r="D187" s="24"/>
      <c r="E187" s="40"/>
      <c r="F187" s="29"/>
      <c r="G187" s="30"/>
      <c r="H187" s="17" t="str">
        <f aca="false">IF(A187="","",A187&amp;"|"&amp;COUNTIF(A$5:A187,A187))</f>
        <v/>
      </c>
      <c r="I187" s="33" t="str">
        <f aca="false">IF(A187="","",IFERROR(INDEX(Items!$B$5:$B$304,MATCH(D187,Items!$A$5:$A$304,0))&amp;"",""))</f>
        <v/>
      </c>
      <c r="J187" s="34" t="str">
        <f aca="false">IF(A187="","",IFERROR(INDEX(Items!$C$5:$C$304,MATCH(D187,Items!$A$5:$A$304,0))&amp;"",""))</f>
        <v/>
      </c>
      <c r="K187" s="35" t="n">
        <f aca="false">IF(A187="",0,IF(ISNUMBER(F187),F187,IFERROR(INDEX(Items!$D$5:$D$304,MATCH(D187,Items!$A$5:$A$304,0)),0)))</f>
        <v>0</v>
      </c>
      <c r="L187" s="35" t="n">
        <f aca="false">ROUND(N(E187)*K187*(1-N(G187)),2)</f>
        <v>0</v>
      </c>
      <c r="M187" s="36" t="n">
        <f aca="false">IF(A187="",0,IFERROR(INDEX(Items!$E$5:$E$304,MATCH(D187,Items!$A$5:$A$304,0)),0))</f>
        <v>0</v>
      </c>
      <c r="N187" s="37" t="str">
        <f aca="false">IF(A187="","",IFERROR(INDEX(Customers!$E$5:$E$204,MATCH(C187,Customers!$A$5:$A$204,0)),"?"))</f>
        <v/>
      </c>
      <c r="O187" s="38" t="str">
        <f aca="false">IF(A187="","",IF(N187=Settings!$B$17,"No","Yes"))</f>
        <v/>
      </c>
      <c r="P187" s="35" t="n">
        <f aca="false">IF(O187="Yes",ROUND(L187*M187,2),0)</f>
        <v>0</v>
      </c>
      <c r="Q187" s="35" t="n">
        <f aca="false">IF(O187="No",ROUND(L187*M187/2,2),0)</f>
        <v>0</v>
      </c>
      <c r="R187" s="35" t="n">
        <f aca="false">Q187</f>
        <v>0</v>
      </c>
      <c r="S187" s="35" t="n">
        <f aca="false">L187+P187+Q187+R187</f>
        <v>0</v>
      </c>
      <c r="T187" s="34" t="str">
        <f aca="false">IF(A187="","",IFERROR(INDEX(Customers!$B$5:$B$204,MATCH(C187,Customers!$A$5:$A$204,0))&amp;"",""))</f>
        <v/>
      </c>
      <c r="U187" s="38" t="str">
        <f aca="false">IF(A187="","",IF(T187&lt;&gt;"","B2B",IF(AND(O187="Yes",SUMIF($A$5:$A$1004,A187,$L$5:$L$1004)+SUMIF($A$5:$A$1004,A187,$P$5:$P$1004)&gt;100000),"B2CL","B2CS")))</f>
        <v/>
      </c>
      <c r="V187" s="17" t="str">
        <f aca="false">IF(A187="","",TEXT(B187,"mmm-yyyy"))</f>
        <v/>
      </c>
    </row>
    <row r="188" customFormat="false" ht="15" hidden="false" customHeight="true" outlineLevel="0" collapsed="false">
      <c r="A188" s="24"/>
      <c r="B188" s="39"/>
      <c r="C188" s="24"/>
      <c r="D188" s="24"/>
      <c r="E188" s="40"/>
      <c r="F188" s="29"/>
      <c r="G188" s="30"/>
      <c r="H188" s="17" t="str">
        <f aca="false">IF(A188="","",A188&amp;"|"&amp;COUNTIF(A$5:A188,A188))</f>
        <v/>
      </c>
      <c r="I188" s="33" t="str">
        <f aca="false">IF(A188="","",IFERROR(INDEX(Items!$B$5:$B$304,MATCH(D188,Items!$A$5:$A$304,0))&amp;"",""))</f>
        <v/>
      </c>
      <c r="J188" s="34" t="str">
        <f aca="false">IF(A188="","",IFERROR(INDEX(Items!$C$5:$C$304,MATCH(D188,Items!$A$5:$A$304,0))&amp;"",""))</f>
        <v/>
      </c>
      <c r="K188" s="35" t="n">
        <f aca="false">IF(A188="",0,IF(ISNUMBER(F188),F188,IFERROR(INDEX(Items!$D$5:$D$304,MATCH(D188,Items!$A$5:$A$304,0)),0)))</f>
        <v>0</v>
      </c>
      <c r="L188" s="35" t="n">
        <f aca="false">ROUND(N(E188)*K188*(1-N(G188)),2)</f>
        <v>0</v>
      </c>
      <c r="M188" s="36" t="n">
        <f aca="false">IF(A188="",0,IFERROR(INDEX(Items!$E$5:$E$304,MATCH(D188,Items!$A$5:$A$304,0)),0))</f>
        <v>0</v>
      </c>
      <c r="N188" s="37" t="str">
        <f aca="false">IF(A188="","",IFERROR(INDEX(Customers!$E$5:$E$204,MATCH(C188,Customers!$A$5:$A$204,0)),"?"))</f>
        <v/>
      </c>
      <c r="O188" s="38" t="str">
        <f aca="false">IF(A188="","",IF(N188=Settings!$B$17,"No","Yes"))</f>
        <v/>
      </c>
      <c r="P188" s="35" t="n">
        <f aca="false">IF(O188="Yes",ROUND(L188*M188,2),0)</f>
        <v>0</v>
      </c>
      <c r="Q188" s="35" t="n">
        <f aca="false">IF(O188="No",ROUND(L188*M188/2,2),0)</f>
        <v>0</v>
      </c>
      <c r="R188" s="35" t="n">
        <f aca="false">Q188</f>
        <v>0</v>
      </c>
      <c r="S188" s="35" t="n">
        <f aca="false">L188+P188+Q188+R188</f>
        <v>0</v>
      </c>
      <c r="T188" s="34" t="str">
        <f aca="false">IF(A188="","",IFERROR(INDEX(Customers!$B$5:$B$204,MATCH(C188,Customers!$A$5:$A$204,0))&amp;"",""))</f>
        <v/>
      </c>
      <c r="U188" s="38" t="str">
        <f aca="false">IF(A188="","",IF(T188&lt;&gt;"","B2B",IF(AND(O188="Yes",SUMIF($A$5:$A$1004,A188,$L$5:$L$1004)+SUMIF($A$5:$A$1004,A188,$P$5:$P$1004)&gt;100000),"B2CL","B2CS")))</f>
        <v/>
      </c>
      <c r="V188" s="17" t="str">
        <f aca="false">IF(A188="","",TEXT(B188,"mmm-yyyy"))</f>
        <v/>
      </c>
    </row>
    <row r="189" customFormat="false" ht="15" hidden="false" customHeight="true" outlineLevel="0" collapsed="false">
      <c r="A189" s="24"/>
      <c r="B189" s="39"/>
      <c r="C189" s="24"/>
      <c r="D189" s="24"/>
      <c r="E189" s="40"/>
      <c r="F189" s="29"/>
      <c r="G189" s="30"/>
      <c r="H189" s="17" t="str">
        <f aca="false">IF(A189="","",A189&amp;"|"&amp;COUNTIF(A$5:A189,A189))</f>
        <v/>
      </c>
      <c r="I189" s="33" t="str">
        <f aca="false">IF(A189="","",IFERROR(INDEX(Items!$B$5:$B$304,MATCH(D189,Items!$A$5:$A$304,0))&amp;"",""))</f>
        <v/>
      </c>
      <c r="J189" s="34" t="str">
        <f aca="false">IF(A189="","",IFERROR(INDEX(Items!$C$5:$C$304,MATCH(D189,Items!$A$5:$A$304,0))&amp;"",""))</f>
        <v/>
      </c>
      <c r="K189" s="35" t="n">
        <f aca="false">IF(A189="",0,IF(ISNUMBER(F189),F189,IFERROR(INDEX(Items!$D$5:$D$304,MATCH(D189,Items!$A$5:$A$304,0)),0)))</f>
        <v>0</v>
      </c>
      <c r="L189" s="35" t="n">
        <f aca="false">ROUND(N(E189)*K189*(1-N(G189)),2)</f>
        <v>0</v>
      </c>
      <c r="M189" s="36" t="n">
        <f aca="false">IF(A189="",0,IFERROR(INDEX(Items!$E$5:$E$304,MATCH(D189,Items!$A$5:$A$304,0)),0))</f>
        <v>0</v>
      </c>
      <c r="N189" s="37" t="str">
        <f aca="false">IF(A189="","",IFERROR(INDEX(Customers!$E$5:$E$204,MATCH(C189,Customers!$A$5:$A$204,0)),"?"))</f>
        <v/>
      </c>
      <c r="O189" s="38" t="str">
        <f aca="false">IF(A189="","",IF(N189=Settings!$B$17,"No","Yes"))</f>
        <v/>
      </c>
      <c r="P189" s="35" t="n">
        <f aca="false">IF(O189="Yes",ROUND(L189*M189,2),0)</f>
        <v>0</v>
      </c>
      <c r="Q189" s="35" t="n">
        <f aca="false">IF(O189="No",ROUND(L189*M189/2,2),0)</f>
        <v>0</v>
      </c>
      <c r="R189" s="35" t="n">
        <f aca="false">Q189</f>
        <v>0</v>
      </c>
      <c r="S189" s="35" t="n">
        <f aca="false">L189+P189+Q189+R189</f>
        <v>0</v>
      </c>
      <c r="T189" s="34" t="str">
        <f aca="false">IF(A189="","",IFERROR(INDEX(Customers!$B$5:$B$204,MATCH(C189,Customers!$A$5:$A$204,0))&amp;"",""))</f>
        <v/>
      </c>
      <c r="U189" s="38" t="str">
        <f aca="false">IF(A189="","",IF(T189&lt;&gt;"","B2B",IF(AND(O189="Yes",SUMIF($A$5:$A$1004,A189,$L$5:$L$1004)+SUMIF($A$5:$A$1004,A189,$P$5:$P$1004)&gt;100000),"B2CL","B2CS")))</f>
        <v/>
      </c>
      <c r="V189" s="17" t="str">
        <f aca="false">IF(A189="","",TEXT(B189,"mmm-yyyy"))</f>
        <v/>
      </c>
    </row>
    <row r="190" customFormat="false" ht="15" hidden="false" customHeight="true" outlineLevel="0" collapsed="false">
      <c r="A190" s="24"/>
      <c r="B190" s="39"/>
      <c r="C190" s="24"/>
      <c r="D190" s="24"/>
      <c r="E190" s="40"/>
      <c r="F190" s="29"/>
      <c r="G190" s="30"/>
      <c r="H190" s="17" t="str">
        <f aca="false">IF(A190="","",A190&amp;"|"&amp;COUNTIF(A$5:A190,A190))</f>
        <v/>
      </c>
      <c r="I190" s="33" t="str">
        <f aca="false">IF(A190="","",IFERROR(INDEX(Items!$B$5:$B$304,MATCH(D190,Items!$A$5:$A$304,0))&amp;"",""))</f>
        <v/>
      </c>
      <c r="J190" s="34" t="str">
        <f aca="false">IF(A190="","",IFERROR(INDEX(Items!$C$5:$C$304,MATCH(D190,Items!$A$5:$A$304,0))&amp;"",""))</f>
        <v/>
      </c>
      <c r="K190" s="35" t="n">
        <f aca="false">IF(A190="",0,IF(ISNUMBER(F190),F190,IFERROR(INDEX(Items!$D$5:$D$304,MATCH(D190,Items!$A$5:$A$304,0)),0)))</f>
        <v>0</v>
      </c>
      <c r="L190" s="35" t="n">
        <f aca="false">ROUND(N(E190)*K190*(1-N(G190)),2)</f>
        <v>0</v>
      </c>
      <c r="M190" s="36" t="n">
        <f aca="false">IF(A190="",0,IFERROR(INDEX(Items!$E$5:$E$304,MATCH(D190,Items!$A$5:$A$304,0)),0))</f>
        <v>0</v>
      </c>
      <c r="N190" s="37" t="str">
        <f aca="false">IF(A190="","",IFERROR(INDEX(Customers!$E$5:$E$204,MATCH(C190,Customers!$A$5:$A$204,0)),"?"))</f>
        <v/>
      </c>
      <c r="O190" s="38" t="str">
        <f aca="false">IF(A190="","",IF(N190=Settings!$B$17,"No","Yes"))</f>
        <v/>
      </c>
      <c r="P190" s="35" t="n">
        <f aca="false">IF(O190="Yes",ROUND(L190*M190,2),0)</f>
        <v>0</v>
      </c>
      <c r="Q190" s="35" t="n">
        <f aca="false">IF(O190="No",ROUND(L190*M190/2,2),0)</f>
        <v>0</v>
      </c>
      <c r="R190" s="35" t="n">
        <f aca="false">Q190</f>
        <v>0</v>
      </c>
      <c r="S190" s="35" t="n">
        <f aca="false">L190+P190+Q190+R190</f>
        <v>0</v>
      </c>
      <c r="T190" s="34" t="str">
        <f aca="false">IF(A190="","",IFERROR(INDEX(Customers!$B$5:$B$204,MATCH(C190,Customers!$A$5:$A$204,0))&amp;"",""))</f>
        <v/>
      </c>
      <c r="U190" s="38" t="str">
        <f aca="false">IF(A190="","",IF(T190&lt;&gt;"","B2B",IF(AND(O190="Yes",SUMIF($A$5:$A$1004,A190,$L$5:$L$1004)+SUMIF($A$5:$A$1004,A190,$P$5:$P$1004)&gt;100000),"B2CL","B2CS")))</f>
        <v/>
      </c>
      <c r="V190" s="17" t="str">
        <f aca="false">IF(A190="","",TEXT(B190,"mmm-yyyy"))</f>
        <v/>
      </c>
    </row>
    <row r="191" customFormat="false" ht="15" hidden="false" customHeight="true" outlineLevel="0" collapsed="false">
      <c r="A191" s="24"/>
      <c r="B191" s="39"/>
      <c r="C191" s="24"/>
      <c r="D191" s="24"/>
      <c r="E191" s="40"/>
      <c r="F191" s="29"/>
      <c r="G191" s="30"/>
      <c r="H191" s="17" t="str">
        <f aca="false">IF(A191="","",A191&amp;"|"&amp;COUNTIF(A$5:A191,A191))</f>
        <v/>
      </c>
      <c r="I191" s="33" t="str">
        <f aca="false">IF(A191="","",IFERROR(INDEX(Items!$B$5:$B$304,MATCH(D191,Items!$A$5:$A$304,0))&amp;"",""))</f>
        <v/>
      </c>
      <c r="J191" s="34" t="str">
        <f aca="false">IF(A191="","",IFERROR(INDEX(Items!$C$5:$C$304,MATCH(D191,Items!$A$5:$A$304,0))&amp;"",""))</f>
        <v/>
      </c>
      <c r="K191" s="35" t="n">
        <f aca="false">IF(A191="",0,IF(ISNUMBER(F191),F191,IFERROR(INDEX(Items!$D$5:$D$304,MATCH(D191,Items!$A$5:$A$304,0)),0)))</f>
        <v>0</v>
      </c>
      <c r="L191" s="35" t="n">
        <f aca="false">ROUND(N(E191)*K191*(1-N(G191)),2)</f>
        <v>0</v>
      </c>
      <c r="M191" s="36" t="n">
        <f aca="false">IF(A191="",0,IFERROR(INDEX(Items!$E$5:$E$304,MATCH(D191,Items!$A$5:$A$304,0)),0))</f>
        <v>0</v>
      </c>
      <c r="N191" s="37" t="str">
        <f aca="false">IF(A191="","",IFERROR(INDEX(Customers!$E$5:$E$204,MATCH(C191,Customers!$A$5:$A$204,0)),"?"))</f>
        <v/>
      </c>
      <c r="O191" s="38" t="str">
        <f aca="false">IF(A191="","",IF(N191=Settings!$B$17,"No","Yes"))</f>
        <v/>
      </c>
      <c r="P191" s="35" t="n">
        <f aca="false">IF(O191="Yes",ROUND(L191*M191,2),0)</f>
        <v>0</v>
      </c>
      <c r="Q191" s="35" t="n">
        <f aca="false">IF(O191="No",ROUND(L191*M191/2,2),0)</f>
        <v>0</v>
      </c>
      <c r="R191" s="35" t="n">
        <f aca="false">Q191</f>
        <v>0</v>
      </c>
      <c r="S191" s="35" t="n">
        <f aca="false">L191+P191+Q191+R191</f>
        <v>0</v>
      </c>
      <c r="T191" s="34" t="str">
        <f aca="false">IF(A191="","",IFERROR(INDEX(Customers!$B$5:$B$204,MATCH(C191,Customers!$A$5:$A$204,0))&amp;"",""))</f>
        <v/>
      </c>
      <c r="U191" s="38" t="str">
        <f aca="false">IF(A191="","",IF(T191&lt;&gt;"","B2B",IF(AND(O191="Yes",SUMIF($A$5:$A$1004,A191,$L$5:$L$1004)+SUMIF($A$5:$A$1004,A191,$P$5:$P$1004)&gt;100000),"B2CL","B2CS")))</f>
        <v/>
      </c>
      <c r="V191" s="17" t="str">
        <f aca="false">IF(A191="","",TEXT(B191,"mmm-yyyy"))</f>
        <v/>
      </c>
    </row>
    <row r="192" customFormat="false" ht="15" hidden="false" customHeight="true" outlineLevel="0" collapsed="false">
      <c r="A192" s="24"/>
      <c r="B192" s="39"/>
      <c r="C192" s="24"/>
      <c r="D192" s="24"/>
      <c r="E192" s="40"/>
      <c r="F192" s="29"/>
      <c r="G192" s="30"/>
      <c r="H192" s="17" t="str">
        <f aca="false">IF(A192="","",A192&amp;"|"&amp;COUNTIF(A$5:A192,A192))</f>
        <v/>
      </c>
      <c r="I192" s="33" t="str">
        <f aca="false">IF(A192="","",IFERROR(INDEX(Items!$B$5:$B$304,MATCH(D192,Items!$A$5:$A$304,0))&amp;"",""))</f>
        <v/>
      </c>
      <c r="J192" s="34" t="str">
        <f aca="false">IF(A192="","",IFERROR(INDEX(Items!$C$5:$C$304,MATCH(D192,Items!$A$5:$A$304,0))&amp;"",""))</f>
        <v/>
      </c>
      <c r="K192" s="35" t="n">
        <f aca="false">IF(A192="",0,IF(ISNUMBER(F192),F192,IFERROR(INDEX(Items!$D$5:$D$304,MATCH(D192,Items!$A$5:$A$304,0)),0)))</f>
        <v>0</v>
      </c>
      <c r="L192" s="35" t="n">
        <f aca="false">ROUND(N(E192)*K192*(1-N(G192)),2)</f>
        <v>0</v>
      </c>
      <c r="M192" s="36" t="n">
        <f aca="false">IF(A192="",0,IFERROR(INDEX(Items!$E$5:$E$304,MATCH(D192,Items!$A$5:$A$304,0)),0))</f>
        <v>0</v>
      </c>
      <c r="N192" s="37" t="str">
        <f aca="false">IF(A192="","",IFERROR(INDEX(Customers!$E$5:$E$204,MATCH(C192,Customers!$A$5:$A$204,0)),"?"))</f>
        <v/>
      </c>
      <c r="O192" s="38" t="str">
        <f aca="false">IF(A192="","",IF(N192=Settings!$B$17,"No","Yes"))</f>
        <v/>
      </c>
      <c r="P192" s="35" t="n">
        <f aca="false">IF(O192="Yes",ROUND(L192*M192,2),0)</f>
        <v>0</v>
      </c>
      <c r="Q192" s="35" t="n">
        <f aca="false">IF(O192="No",ROUND(L192*M192/2,2),0)</f>
        <v>0</v>
      </c>
      <c r="R192" s="35" t="n">
        <f aca="false">Q192</f>
        <v>0</v>
      </c>
      <c r="S192" s="35" t="n">
        <f aca="false">L192+P192+Q192+R192</f>
        <v>0</v>
      </c>
      <c r="T192" s="34" t="str">
        <f aca="false">IF(A192="","",IFERROR(INDEX(Customers!$B$5:$B$204,MATCH(C192,Customers!$A$5:$A$204,0))&amp;"",""))</f>
        <v/>
      </c>
      <c r="U192" s="38" t="str">
        <f aca="false">IF(A192="","",IF(T192&lt;&gt;"","B2B",IF(AND(O192="Yes",SUMIF($A$5:$A$1004,A192,$L$5:$L$1004)+SUMIF($A$5:$A$1004,A192,$P$5:$P$1004)&gt;100000),"B2CL","B2CS")))</f>
        <v/>
      </c>
      <c r="V192" s="17" t="str">
        <f aca="false">IF(A192="","",TEXT(B192,"mmm-yyyy"))</f>
        <v/>
      </c>
    </row>
    <row r="193" customFormat="false" ht="15" hidden="false" customHeight="true" outlineLevel="0" collapsed="false">
      <c r="A193" s="24"/>
      <c r="B193" s="39"/>
      <c r="C193" s="24"/>
      <c r="D193" s="24"/>
      <c r="E193" s="40"/>
      <c r="F193" s="29"/>
      <c r="G193" s="30"/>
      <c r="H193" s="17" t="str">
        <f aca="false">IF(A193="","",A193&amp;"|"&amp;COUNTIF(A$5:A193,A193))</f>
        <v/>
      </c>
      <c r="I193" s="33" t="str">
        <f aca="false">IF(A193="","",IFERROR(INDEX(Items!$B$5:$B$304,MATCH(D193,Items!$A$5:$A$304,0))&amp;"",""))</f>
        <v/>
      </c>
      <c r="J193" s="34" t="str">
        <f aca="false">IF(A193="","",IFERROR(INDEX(Items!$C$5:$C$304,MATCH(D193,Items!$A$5:$A$304,0))&amp;"",""))</f>
        <v/>
      </c>
      <c r="K193" s="35" t="n">
        <f aca="false">IF(A193="",0,IF(ISNUMBER(F193),F193,IFERROR(INDEX(Items!$D$5:$D$304,MATCH(D193,Items!$A$5:$A$304,0)),0)))</f>
        <v>0</v>
      </c>
      <c r="L193" s="35" t="n">
        <f aca="false">ROUND(N(E193)*K193*(1-N(G193)),2)</f>
        <v>0</v>
      </c>
      <c r="M193" s="36" t="n">
        <f aca="false">IF(A193="",0,IFERROR(INDEX(Items!$E$5:$E$304,MATCH(D193,Items!$A$5:$A$304,0)),0))</f>
        <v>0</v>
      </c>
      <c r="N193" s="37" t="str">
        <f aca="false">IF(A193="","",IFERROR(INDEX(Customers!$E$5:$E$204,MATCH(C193,Customers!$A$5:$A$204,0)),"?"))</f>
        <v/>
      </c>
      <c r="O193" s="38" t="str">
        <f aca="false">IF(A193="","",IF(N193=Settings!$B$17,"No","Yes"))</f>
        <v/>
      </c>
      <c r="P193" s="35" t="n">
        <f aca="false">IF(O193="Yes",ROUND(L193*M193,2),0)</f>
        <v>0</v>
      </c>
      <c r="Q193" s="35" t="n">
        <f aca="false">IF(O193="No",ROUND(L193*M193/2,2),0)</f>
        <v>0</v>
      </c>
      <c r="R193" s="35" t="n">
        <f aca="false">Q193</f>
        <v>0</v>
      </c>
      <c r="S193" s="35" t="n">
        <f aca="false">L193+P193+Q193+R193</f>
        <v>0</v>
      </c>
      <c r="T193" s="34" t="str">
        <f aca="false">IF(A193="","",IFERROR(INDEX(Customers!$B$5:$B$204,MATCH(C193,Customers!$A$5:$A$204,0))&amp;"",""))</f>
        <v/>
      </c>
      <c r="U193" s="38" t="str">
        <f aca="false">IF(A193="","",IF(T193&lt;&gt;"","B2B",IF(AND(O193="Yes",SUMIF($A$5:$A$1004,A193,$L$5:$L$1004)+SUMIF($A$5:$A$1004,A193,$P$5:$P$1004)&gt;100000),"B2CL","B2CS")))</f>
        <v/>
      </c>
      <c r="V193" s="17" t="str">
        <f aca="false">IF(A193="","",TEXT(B193,"mmm-yyyy"))</f>
        <v/>
      </c>
    </row>
    <row r="194" customFormat="false" ht="15" hidden="false" customHeight="true" outlineLevel="0" collapsed="false">
      <c r="A194" s="24"/>
      <c r="B194" s="39"/>
      <c r="C194" s="24"/>
      <c r="D194" s="24"/>
      <c r="E194" s="40"/>
      <c r="F194" s="29"/>
      <c r="G194" s="30"/>
      <c r="H194" s="17" t="str">
        <f aca="false">IF(A194="","",A194&amp;"|"&amp;COUNTIF(A$5:A194,A194))</f>
        <v/>
      </c>
      <c r="I194" s="33" t="str">
        <f aca="false">IF(A194="","",IFERROR(INDEX(Items!$B$5:$B$304,MATCH(D194,Items!$A$5:$A$304,0))&amp;"",""))</f>
        <v/>
      </c>
      <c r="J194" s="34" t="str">
        <f aca="false">IF(A194="","",IFERROR(INDEX(Items!$C$5:$C$304,MATCH(D194,Items!$A$5:$A$304,0))&amp;"",""))</f>
        <v/>
      </c>
      <c r="K194" s="35" t="n">
        <f aca="false">IF(A194="",0,IF(ISNUMBER(F194),F194,IFERROR(INDEX(Items!$D$5:$D$304,MATCH(D194,Items!$A$5:$A$304,0)),0)))</f>
        <v>0</v>
      </c>
      <c r="L194" s="35" t="n">
        <f aca="false">ROUND(N(E194)*K194*(1-N(G194)),2)</f>
        <v>0</v>
      </c>
      <c r="M194" s="36" t="n">
        <f aca="false">IF(A194="",0,IFERROR(INDEX(Items!$E$5:$E$304,MATCH(D194,Items!$A$5:$A$304,0)),0))</f>
        <v>0</v>
      </c>
      <c r="N194" s="37" t="str">
        <f aca="false">IF(A194="","",IFERROR(INDEX(Customers!$E$5:$E$204,MATCH(C194,Customers!$A$5:$A$204,0)),"?"))</f>
        <v/>
      </c>
      <c r="O194" s="38" t="str">
        <f aca="false">IF(A194="","",IF(N194=Settings!$B$17,"No","Yes"))</f>
        <v/>
      </c>
      <c r="P194" s="35" t="n">
        <f aca="false">IF(O194="Yes",ROUND(L194*M194,2),0)</f>
        <v>0</v>
      </c>
      <c r="Q194" s="35" t="n">
        <f aca="false">IF(O194="No",ROUND(L194*M194/2,2),0)</f>
        <v>0</v>
      </c>
      <c r="R194" s="35" t="n">
        <f aca="false">Q194</f>
        <v>0</v>
      </c>
      <c r="S194" s="35" t="n">
        <f aca="false">L194+P194+Q194+R194</f>
        <v>0</v>
      </c>
      <c r="T194" s="34" t="str">
        <f aca="false">IF(A194="","",IFERROR(INDEX(Customers!$B$5:$B$204,MATCH(C194,Customers!$A$5:$A$204,0))&amp;"",""))</f>
        <v/>
      </c>
      <c r="U194" s="38" t="str">
        <f aca="false">IF(A194="","",IF(T194&lt;&gt;"","B2B",IF(AND(O194="Yes",SUMIF($A$5:$A$1004,A194,$L$5:$L$1004)+SUMIF($A$5:$A$1004,A194,$P$5:$P$1004)&gt;100000),"B2CL","B2CS")))</f>
        <v/>
      </c>
      <c r="V194" s="17" t="str">
        <f aca="false">IF(A194="","",TEXT(B194,"mmm-yyyy"))</f>
        <v/>
      </c>
    </row>
    <row r="195" customFormat="false" ht="15" hidden="false" customHeight="true" outlineLevel="0" collapsed="false">
      <c r="A195" s="24"/>
      <c r="B195" s="39"/>
      <c r="C195" s="24"/>
      <c r="D195" s="24"/>
      <c r="E195" s="40"/>
      <c r="F195" s="29"/>
      <c r="G195" s="30"/>
      <c r="H195" s="17" t="str">
        <f aca="false">IF(A195="","",A195&amp;"|"&amp;COUNTIF(A$5:A195,A195))</f>
        <v/>
      </c>
      <c r="I195" s="33" t="str">
        <f aca="false">IF(A195="","",IFERROR(INDEX(Items!$B$5:$B$304,MATCH(D195,Items!$A$5:$A$304,0))&amp;"",""))</f>
        <v/>
      </c>
      <c r="J195" s="34" t="str">
        <f aca="false">IF(A195="","",IFERROR(INDEX(Items!$C$5:$C$304,MATCH(D195,Items!$A$5:$A$304,0))&amp;"",""))</f>
        <v/>
      </c>
      <c r="K195" s="35" t="n">
        <f aca="false">IF(A195="",0,IF(ISNUMBER(F195),F195,IFERROR(INDEX(Items!$D$5:$D$304,MATCH(D195,Items!$A$5:$A$304,0)),0)))</f>
        <v>0</v>
      </c>
      <c r="L195" s="35" t="n">
        <f aca="false">ROUND(N(E195)*K195*(1-N(G195)),2)</f>
        <v>0</v>
      </c>
      <c r="M195" s="36" t="n">
        <f aca="false">IF(A195="",0,IFERROR(INDEX(Items!$E$5:$E$304,MATCH(D195,Items!$A$5:$A$304,0)),0))</f>
        <v>0</v>
      </c>
      <c r="N195" s="37" t="str">
        <f aca="false">IF(A195="","",IFERROR(INDEX(Customers!$E$5:$E$204,MATCH(C195,Customers!$A$5:$A$204,0)),"?"))</f>
        <v/>
      </c>
      <c r="O195" s="38" t="str">
        <f aca="false">IF(A195="","",IF(N195=Settings!$B$17,"No","Yes"))</f>
        <v/>
      </c>
      <c r="P195" s="35" t="n">
        <f aca="false">IF(O195="Yes",ROUND(L195*M195,2),0)</f>
        <v>0</v>
      </c>
      <c r="Q195" s="35" t="n">
        <f aca="false">IF(O195="No",ROUND(L195*M195/2,2),0)</f>
        <v>0</v>
      </c>
      <c r="R195" s="35" t="n">
        <f aca="false">Q195</f>
        <v>0</v>
      </c>
      <c r="S195" s="35" t="n">
        <f aca="false">L195+P195+Q195+R195</f>
        <v>0</v>
      </c>
      <c r="T195" s="34" t="str">
        <f aca="false">IF(A195="","",IFERROR(INDEX(Customers!$B$5:$B$204,MATCH(C195,Customers!$A$5:$A$204,0))&amp;"",""))</f>
        <v/>
      </c>
      <c r="U195" s="38" t="str">
        <f aca="false">IF(A195="","",IF(T195&lt;&gt;"","B2B",IF(AND(O195="Yes",SUMIF($A$5:$A$1004,A195,$L$5:$L$1004)+SUMIF($A$5:$A$1004,A195,$P$5:$P$1004)&gt;100000),"B2CL","B2CS")))</f>
        <v/>
      </c>
      <c r="V195" s="17" t="str">
        <f aca="false">IF(A195="","",TEXT(B195,"mmm-yyyy"))</f>
        <v/>
      </c>
    </row>
    <row r="196" customFormat="false" ht="15" hidden="false" customHeight="true" outlineLevel="0" collapsed="false">
      <c r="A196" s="24"/>
      <c r="B196" s="39"/>
      <c r="C196" s="24"/>
      <c r="D196" s="24"/>
      <c r="E196" s="40"/>
      <c r="F196" s="29"/>
      <c r="G196" s="30"/>
      <c r="H196" s="17" t="str">
        <f aca="false">IF(A196="","",A196&amp;"|"&amp;COUNTIF(A$5:A196,A196))</f>
        <v/>
      </c>
      <c r="I196" s="33" t="str">
        <f aca="false">IF(A196="","",IFERROR(INDEX(Items!$B$5:$B$304,MATCH(D196,Items!$A$5:$A$304,0))&amp;"",""))</f>
        <v/>
      </c>
      <c r="J196" s="34" t="str">
        <f aca="false">IF(A196="","",IFERROR(INDEX(Items!$C$5:$C$304,MATCH(D196,Items!$A$5:$A$304,0))&amp;"",""))</f>
        <v/>
      </c>
      <c r="K196" s="35" t="n">
        <f aca="false">IF(A196="",0,IF(ISNUMBER(F196),F196,IFERROR(INDEX(Items!$D$5:$D$304,MATCH(D196,Items!$A$5:$A$304,0)),0)))</f>
        <v>0</v>
      </c>
      <c r="L196" s="35" t="n">
        <f aca="false">ROUND(N(E196)*K196*(1-N(G196)),2)</f>
        <v>0</v>
      </c>
      <c r="M196" s="36" t="n">
        <f aca="false">IF(A196="",0,IFERROR(INDEX(Items!$E$5:$E$304,MATCH(D196,Items!$A$5:$A$304,0)),0))</f>
        <v>0</v>
      </c>
      <c r="N196" s="37" t="str">
        <f aca="false">IF(A196="","",IFERROR(INDEX(Customers!$E$5:$E$204,MATCH(C196,Customers!$A$5:$A$204,0)),"?"))</f>
        <v/>
      </c>
      <c r="O196" s="38" t="str">
        <f aca="false">IF(A196="","",IF(N196=Settings!$B$17,"No","Yes"))</f>
        <v/>
      </c>
      <c r="P196" s="35" t="n">
        <f aca="false">IF(O196="Yes",ROUND(L196*M196,2),0)</f>
        <v>0</v>
      </c>
      <c r="Q196" s="35" t="n">
        <f aca="false">IF(O196="No",ROUND(L196*M196/2,2),0)</f>
        <v>0</v>
      </c>
      <c r="R196" s="35" t="n">
        <f aca="false">Q196</f>
        <v>0</v>
      </c>
      <c r="S196" s="35" t="n">
        <f aca="false">L196+P196+Q196+R196</f>
        <v>0</v>
      </c>
      <c r="T196" s="34" t="str">
        <f aca="false">IF(A196="","",IFERROR(INDEX(Customers!$B$5:$B$204,MATCH(C196,Customers!$A$5:$A$204,0))&amp;"",""))</f>
        <v/>
      </c>
      <c r="U196" s="38" t="str">
        <f aca="false">IF(A196="","",IF(T196&lt;&gt;"","B2B",IF(AND(O196="Yes",SUMIF($A$5:$A$1004,A196,$L$5:$L$1004)+SUMIF($A$5:$A$1004,A196,$P$5:$P$1004)&gt;100000),"B2CL","B2CS")))</f>
        <v/>
      </c>
      <c r="V196" s="17" t="str">
        <f aca="false">IF(A196="","",TEXT(B196,"mmm-yyyy"))</f>
        <v/>
      </c>
    </row>
    <row r="197" customFormat="false" ht="15" hidden="false" customHeight="true" outlineLevel="0" collapsed="false">
      <c r="A197" s="24"/>
      <c r="B197" s="39"/>
      <c r="C197" s="24"/>
      <c r="D197" s="24"/>
      <c r="E197" s="40"/>
      <c r="F197" s="29"/>
      <c r="G197" s="30"/>
      <c r="H197" s="17" t="str">
        <f aca="false">IF(A197="","",A197&amp;"|"&amp;COUNTIF(A$5:A197,A197))</f>
        <v/>
      </c>
      <c r="I197" s="33" t="str">
        <f aca="false">IF(A197="","",IFERROR(INDEX(Items!$B$5:$B$304,MATCH(D197,Items!$A$5:$A$304,0))&amp;"",""))</f>
        <v/>
      </c>
      <c r="J197" s="34" t="str">
        <f aca="false">IF(A197="","",IFERROR(INDEX(Items!$C$5:$C$304,MATCH(D197,Items!$A$5:$A$304,0))&amp;"",""))</f>
        <v/>
      </c>
      <c r="K197" s="35" t="n">
        <f aca="false">IF(A197="",0,IF(ISNUMBER(F197),F197,IFERROR(INDEX(Items!$D$5:$D$304,MATCH(D197,Items!$A$5:$A$304,0)),0)))</f>
        <v>0</v>
      </c>
      <c r="L197" s="35" t="n">
        <f aca="false">ROUND(N(E197)*K197*(1-N(G197)),2)</f>
        <v>0</v>
      </c>
      <c r="M197" s="36" t="n">
        <f aca="false">IF(A197="",0,IFERROR(INDEX(Items!$E$5:$E$304,MATCH(D197,Items!$A$5:$A$304,0)),0))</f>
        <v>0</v>
      </c>
      <c r="N197" s="37" t="str">
        <f aca="false">IF(A197="","",IFERROR(INDEX(Customers!$E$5:$E$204,MATCH(C197,Customers!$A$5:$A$204,0)),"?"))</f>
        <v/>
      </c>
      <c r="O197" s="38" t="str">
        <f aca="false">IF(A197="","",IF(N197=Settings!$B$17,"No","Yes"))</f>
        <v/>
      </c>
      <c r="P197" s="35" t="n">
        <f aca="false">IF(O197="Yes",ROUND(L197*M197,2),0)</f>
        <v>0</v>
      </c>
      <c r="Q197" s="35" t="n">
        <f aca="false">IF(O197="No",ROUND(L197*M197/2,2),0)</f>
        <v>0</v>
      </c>
      <c r="R197" s="35" t="n">
        <f aca="false">Q197</f>
        <v>0</v>
      </c>
      <c r="S197" s="35" t="n">
        <f aca="false">L197+P197+Q197+R197</f>
        <v>0</v>
      </c>
      <c r="T197" s="34" t="str">
        <f aca="false">IF(A197="","",IFERROR(INDEX(Customers!$B$5:$B$204,MATCH(C197,Customers!$A$5:$A$204,0))&amp;"",""))</f>
        <v/>
      </c>
      <c r="U197" s="38" t="str">
        <f aca="false">IF(A197="","",IF(T197&lt;&gt;"","B2B",IF(AND(O197="Yes",SUMIF($A$5:$A$1004,A197,$L$5:$L$1004)+SUMIF($A$5:$A$1004,A197,$P$5:$P$1004)&gt;100000),"B2CL","B2CS")))</f>
        <v/>
      </c>
      <c r="V197" s="17" t="str">
        <f aca="false">IF(A197="","",TEXT(B197,"mmm-yyyy"))</f>
        <v/>
      </c>
    </row>
    <row r="198" customFormat="false" ht="15" hidden="false" customHeight="true" outlineLevel="0" collapsed="false">
      <c r="A198" s="24"/>
      <c r="B198" s="39"/>
      <c r="C198" s="24"/>
      <c r="D198" s="24"/>
      <c r="E198" s="40"/>
      <c r="F198" s="29"/>
      <c r="G198" s="30"/>
      <c r="H198" s="17" t="str">
        <f aca="false">IF(A198="","",A198&amp;"|"&amp;COUNTIF(A$5:A198,A198))</f>
        <v/>
      </c>
      <c r="I198" s="33" t="str">
        <f aca="false">IF(A198="","",IFERROR(INDEX(Items!$B$5:$B$304,MATCH(D198,Items!$A$5:$A$304,0))&amp;"",""))</f>
        <v/>
      </c>
      <c r="J198" s="34" t="str">
        <f aca="false">IF(A198="","",IFERROR(INDEX(Items!$C$5:$C$304,MATCH(D198,Items!$A$5:$A$304,0))&amp;"",""))</f>
        <v/>
      </c>
      <c r="K198" s="35" t="n">
        <f aca="false">IF(A198="",0,IF(ISNUMBER(F198),F198,IFERROR(INDEX(Items!$D$5:$D$304,MATCH(D198,Items!$A$5:$A$304,0)),0)))</f>
        <v>0</v>
      </c>
      <c r="L198" s="35" t="n">
        <f aca="false">ROUND(N(E198)*K198*(1-N(G198)),2)</f>
        <v>0</v>
      </c>
      <c r="M198" s="36" t="n">
        <f aca="false">IF(A198="",0,IFERROR(INDEX(Items!$E$5:$E$304,MATCH(D198,Items!$A$5:$A$304,0)),0))</f>
        <v>0</v>
      </c>
      <c r="N198" s="37" t="str">
        <f aca="false">IF(A198="","",IFERROR(INDEX(Customers!$E$5:$E$204,MATCH(C198,Customers!$A$5:$A$204,0)),"?"))</f>
        <v/>
      </c>
      <c r="O198" s="38" t="str">
        <f aca="false">IF(A198="","",IF(N198=Settings!$B$17,"No","Yes"))</f>
        <v/>
      </c>
      <c r="P198" s="35" t="n">
        <f aca="false">IF(O198="Yes",ROUND(L198*M198,2),0)</f>
        <v>0</v>
      </c>
      <c r="Q198" s="35" t="n">
        <f aca="false">IF(O198="No",ROUND(L198*M198/2,2),0)</f>
        <v>0</v>
      </c>
      <c r="R198" s="35" t="n">
        <f aca="false">Q198</f>
        <v>0</v>
      </c>
      <c r="S198" s="35" t="n">
        <f aca="false">L198+P198+Q198+R198</f>
        <v>0</v>
      </c>
      <c r="T198" s="34" t="str">
        <f aca="false">IF(A198="","",IFERROR(INDEX(Customers!$B$5:$B$204,MATCH(C198,Customers!$A$5:$A$204,0))&amp;"",""))</f>
        <v/>
      </c>
      <c r="U198" s="38" t="str">
        <f aca="false">IF(A198="","",IF(T198&lt;&gt;"","B2B",IF(AND(O198="Yes",SUMIF($A$5:$A$1004,A198,$L$5:$L$1004)+SUMIF($A$5:$A$1004,A198,$P$5:$P$1004)&gt;100000),"B2CL","B2CS")))</f>
        <v/>
      </c>
      <c r="V198" s="17" t="str">
        <f aca="false">IF(A198="","",TEXT(B198,"mmm-yyyy"))</f>
        <v/>
      </c>
    </row>
    <row r="199" customFormat="false" ht="15" hidden="false" customHeight="true" outlineLevel="0" collapsed="false">
      <c r="A199" s="24"/>
      <c r="B199" s="39"/>
      <c r="C199" s="24"/>
      <c r="D199" s="24"/>
      <c r="E199" s="40"/>
      <c r="F199" s="29"/>
      <c r="G199" s="30"/>
      <c r="H199" s="17" t="str">
        <f aca="false">IF(A199="","",A199&amp;"|"&amp;COUNTIF(A$5:A199,A199))</f>
        <v/>
      </c>
      <c r="I199" s="33" t="str">
        <f aca="false">IF(A199="","",IFERROR(INDEX(Items!$B$5:$B$304,MATCH(D199,Items!$A$5:$A$304,0))&amp;"",""))</f>
        <v/>
      </c>
      <c r="J199" s="34" t="str">
        <f aca="false">IF(A199="","",IFERROR(INDEX(Items!$C$5:$C$304,MATCH(D199,Items!$A$5:$A$304,0))&amp;"",""))</f>
        <v/>
      </c>
      <c r="K199" s="35" t="n">
        <f aca="false">IF(A199="",0,IF(ISNUMBER(F199),F199,IFERROR(INDEX(Items!$D$5:$D$304,MATCH(D199,Items!$A$5:$A$304,0)),0)))</f>
        <v>0</v>
      </c>
      <c r="L199" s="35" t="n">
        <f aca="false">ROUND(N(E199)*K199*(1-N(G199)),2)</f>
        <v>0</v>
      </c>
      <c r="M199" s="36" t="n">
        <f aca="false">IF(A199="",0,IFERROR(INDEX(Items!$E$5:$E$304,MATCH(D199,Items!$A$5:$A$304,0)),0))</f>
        <v>0</v>
      </c>
      <c r="N199" s="37" t="str">
        <f aca="false">IF(A199="","",IFERROR(INDEX(Customers!$E$5:$E$204,MATCH(C199,Customers!$A$5:$A$204,0)),"?"))</f>
        <v/>
      </c>
      <c r="O199" s="38" t="str">
        <f aca="false">IF(A199="","",IF(N199=Settings!$B$17,"No","Yes"))</f>
        <v/>
      </c>
      <c r="P199" s="35" t="n">
        <f aca="false">IF(O199="Yes",ROUND(L199*M199,2),0)</f>
        <v>0</v>
      </c>
      <c r="Q199" s="35" t="n">
        <f aca="false">IF(O199="No",ROUND(L199*M199/2,2),0)</f>
        <v>0</v>
      </c>
      <c r="R199" s="35" t="n">
        <f aca="false">Q199</f>
        <v>0</v>
      </c>
      <c r="S199" s="35" t="n">
        <f aca="false">L199+P199+Q199+R199</f>
        <v>0</v>
      </c>
      <c r="T199" s="34" t="str">
        <f aca="false">IF(A199="","",IFERROR(INDEX(Customers!$B$5:$B$204,MATCH(C199,Customers!$A$5:$A$204,0))&amp;"",""))</f>
        <v/>
      </c>
      <c r="U199" s="38" t="str">
        <f aca="false">IF(A199="","",IF(T199&lt;&gt;"","B2B",IF(AND(O199="Yes",SUMIF($A$5:$A$1004,A199,$L$5:$L$1004)+SUMIF($A$5:$A$1004,A199,$P$5:$P$1004)&gt;100000),"B2CL","B2CS")))</f>
        <v/>
      </c>
      <c r="V199" s="17" t="str">
        <f aca="false">IF(A199="","",TEXT(B199,"mmm-yyyy"))</f>
        <v/>
      </c>
    </row>
    <row r="200" customFormat="false" ht="15" hidden="false" customHeight="true" outlineLevel="0" collapsed="false">
      <c r="A200" s="24"/>
      <c r="B200" s="39"/>
      <c r="C200" s="24"/>
      <c r="D200" s="24"/>
      <c r="E200" s="40"/>
      <c r="F200" s="29"/>
      <c r="G200" s="30"/>
      <c r="H200" s="17" t="str">
        <f aca="false">IF(A200="","",A200&amp;"|"&amp;COUNTIF(A$5:A200,A200))</f>
        <v/>
      </c>
      <c r="I200" s="33" t="str">
        <f aca="false">IF(A200="","",IFERROR(INDEX(Items!$B$5:$B$304,MATCH(D200,Items!$A$5:$A$304,0))&amp;"",""))</f>
        <v/>
      </c>
      <c r="J200" s="34" t="str">
        <f aca="false">IF(A200="","",IFERROR(INDEX(Items!$C$5:$C$304,MATCH(D200,Items!$A$5:$A$304,0))&amp;"",""))</f>
        <v/>
      </c>
      <c r="K200" s="35" t="n">
        <f aca="false">IF(A200="",0,IF(ISNUMBER(F200),F200,IFERROR(INDEX(Items!$D$5:$D$304,MATCH(D200,Items!$A$5:$A$304,0)),0)))</f>
        <v>0</v>
      </c>
      <c r="L200" s="35" t="n">
        <f aca="false">ROUND(N(E200)*K200*(1-N(G200)),2)</f>
        <v>0</v>
      </c>
      <c r="M200" s="36" t="n">
        <f aca="false">IF(A200="",0,IFERROR(INDEX(Items!$E$5:$E$304,MATCH(D200,Items!$A$5:$A$304,0)),0))</f>
        <v>0</v>
      </c>
      <c r="N200" s="37" t="str">
        <f aca="false">IF(A200="","",IFERROR(INDEX(Customers!$E$5:$E$204,MATCH(C200,Customers!$A$5:$A$204,0)),"?"))</f>
        <v/>
      </c>
      <c r="O200" s="38" t="str">
        <f aca="false">IF(A200="","",IF(N200=Settings!$B$17,"No","Yes"))</f>
        <v/>
      </c>
      <c r="P200" s="35" t="n">
        <f aca="false">IF(O200="Yes",ROUND(L200*M200,2),0)</f>
        <v>0</v>
      </c>
      <c r="Q200" s="35" t="n">
        <f aca="false">IF(O200="No",ROUND(L200*M200/2,2),0)</f>
        <v>0</v>
      </c>
      <c r="R200" s="35" t="n">
        <f aca="false">Q200</f>
        <v>0</v>
      </c>
      <c r="S200" s="35" t="n">
        <f aca="false">L200+P200+Q200+R200</f>
        <v>0</v>
      </c>
      <c r="T200" s="34" t="str">
        <f aca="false">IF(A200="","",IFERROR(INDEX(Customers!$B$5:$B$204,MATCH(C200,Customers!$A$5:$A$204,0))&amp;"",""))</f>
        <v/>
      </c>
      <c r="U200" s="38" t="str">
        <f aca="false">IF(A200="","",IF(T200&lt;&gt;"","B2B",IF(AND(O200="Yes",SUMIF($A$5:$A$1004,A200,$L$5:$L$1004)+SUMIF($A$5:$A$1004,A200,$P$5:$P$1004)&gt;100000),"B2CL","B2CS")))</f>
        <v/>
      </c>
      <c r="V200" s="17" t="str">
        <f aca="false">IF(A200="","",TEXT(B200,"mmm-yyyy"))</f>
        <v/>
      </c>
    </row>
    <row r="201" customFormat="false" ht="15" hidden="false" customHeight="true" outlineLevel="0" collapsed="false">
      <c r="A201" s="24"/>
      <c r="B201" s="39"/>
      <c r="C201" s="24"/>
      <c r="D201" s="24"/>
      <c r="E201" s="40"/>
      <c r="F201" s="29"/>
      <c r="G201" s="30"/>
      <c r="H201" s="17" t="str">
        <f aca="false">IF(A201="","",A201&amp;"|"&amp;COUNTIF(A$5:A201,A201))</f>
        <v/>
      </c>
      <c r="I201" s="33" t="str">
        <f aca="false">IF(A201="","",IFERROR(INDEX(Items!$B$5:$B$304,MATCH(D201,Items!$A$5:$A$304,0))&amp;"",""))</f>
        <v/>
      </c>
      <c r="J201" s="34" t="str">
        <f aca="false">IF(A201="","",IFERROR(INDEX(Items!$C$5:$C$304,MATCH(D201,Items!$A$5:$A$304,0))&amp;"",""))</f>
        <v/>
      </c>
      <c r="K201" s="35" t="n">
        <f aca="false">IF(A201="",0,IF(ISNUMBER(F201),F201,IFERROR(INDEX(Items!$D$5:$D$304,MATCH(D201,Items!$A$5:$A$304,0)),0)))</f>
        <v>0</v>
      </c>
      <c r="L201" s="35" t="n">
        <f aca="false">ROUND(N(E201)*K201*(1-N(G201)),2)</f>
        <v>0</v>
      </c>
      <c r="M201" s="36" t="n">
        <f aca="false">IF(A201="",0,IFERROR(INDEX(Items!$E$5:$E$304,MATCH(D201,Items!$A$5:$A$304,0)),0))</f>
        <v>0</v>
      </c>
      <c r="N201" s="37" t="str">
        <f aca="false">IF(A201="","",IFERROR(INDEX(Customers!$E$5:$E$204,MATCH(C201,Customers!$A$5:$A$204,0)),"?"))</f>
        <v/>
      </c>
      <c r="O201" s="38" t="str">
        <f aca="false">IF(A201="","",IF(N201=Settings!$B$17,"No","Yes"))</f>
        <v/>
      </c>
      <c r="P201" s="35" t="n">
        <f aca="false">IF(O201="Yes",ROUND(L201*M201,2),0)</f>
        <v>0</v>
      </c>
      <c r="Q201" s="35" t="n">
        <f aca="false">IF(O201="No",ROUND(L201*M201/2,2),0)</f>
        <v>0</v>
      </c>
      <c r="R201" s="35" t="n">
        <f aca="false">Q201</f>
        <v>0</v>
      </c>
      <c r="S201" s="35" t="n">
        <f aca="false">L201+P201+Q201+R201</f>
        <v>0</v>
      </c>
      <c r="T201" s="34" t="str">
        <f aca="false">IF(A201="","",IFERROR(INDEX(Customers!$B$5:$B$204,MATCH(C201,Customers!$A$5:$A$204,0))&amp;"",""))</f>
        <v/>
      </c>
      <c r="U201" s="38" t="str">
        <f aca="false">IF(A201="","",IF(T201&lt;&gt;"","B2B",IF(AND(O201="Yes",SUMIF($A$5:$A$1004,A201,$L$5:$L$1004)+SUMIF($A$5:$A$1004,A201,$P$5:$P$1004)&gt;100000),"B2CL","B2CS")))</f>
        <v/>
      </c>
      <c r="V201" s="17" t="str">
        <f aca="false">IF(A201="","",TEXT(B201,"mmm-yyyy"))</f>
        <v/>
      </c>
    </row>
    <row r="202" customFormat="false" ht="15" hidden="false" customHeight="true" outlineLevel="0" collapsed="false">
      <c r="A202" s="24"/>
      <c r="B202" s="39"/>
      <c r="C202" s="24"/>
      <c r="D202" s="24"/>
      <c r="E202" s="40"/>
      <c r="F202" s="29"/>
      <c r="G202" s="30"/>
      <c r="H202" s="17" t="str">
        <f aca="false">IF(A202="","",A202&amp;"|"&amp;COUNTIF(A$5:A202,A202))</f>
        <v/>
      </c>
      <c r="I202" s="33" t="str">
        <f aca="false">IF(A202="","",IFERROR(INDEX(Items!$B$5:$B$304,MATCH(D202,Items!$A$5:$A$304,0))&amp;"",""))</f>
        <v/>
      </c>
      <c r="J202" s="34" t="str">
        <f aca="false">IF(A202="","",IFERROR(INDEX(Items!$C$5:$C$304,MATCH(D202,Items!$A$5:$A$304,0))&amp;"",""))</f>
        <v/>
      </c>
      <c r="K202" s="35" t="n">
        <f aca="false">IF(A202="",0,IF(ISNUMBER(F202),F202,IFERROR(INDEX(Items!$D$5:$D$304,MATCH(D202,Items!$A$5:$A$304,0)),0)))</f>
        <v>0</v>
      </c>
      <c r="L202" s="35" t="n">
        <f aca="false">ROUND(N(E202)*K202*(1-N(G202)),2)</f>
        <v>0</v>
      </c>
      <c r="M202" s="36" t="n">
        <f aca="false">IF(A202="",0,IFERROR(INDEX(Items!$E$5:$E$304,MATCH(D202,Items!$A$5:$A$304,0)),0))</f>
        <v>0</v>
      </c>
      <c r="N202" s="37" t="str">
        <f aca="false">IF(A202="","",IFERROR(INDEX(Customers!$E$5:$E$204,MATCH(C202,Customers!$A$5:$A$204,0)),"?"))</f>
        <v/>
      </c>
      <c r="O202" s="38" t="str">
        <f aca="false">IF(A202="","",IF(N202=Settings!$B$17,"No","Yes"))</f>
        <v/>
      </c>
      <c r="P202" s="35" t="n">
        <f aca="false">IF(O202="Yes",ROUND(L202*M202,2),0)</f>
        <v>0</v>
      </c>
      <c r="Q202" s="35" t="n">
        <f aca="false">IF(O202="No",ROUND(L202*M202/2,2),0)</f>
        <v>0</v>
      </c>
      <c r="R202" s="35" t="n">
        <f aca="false">Q202</f>
        <v>0</v>
      </c>
      <c r="S202" s="35" t="n">
        <f aca="false">L202+P202+Q202+R202</f>
        <v>0</v>
      </c>
      <c r="T202" s="34" t="str">
        <f aca="false">IF(A202="","",IFERROR(INDEX(Customers!$B$5:$B$204,MATCH(C202,Customers!$A$5:$A$204,0))&amp;"",""))</f>
        <v/>
      </c>
      <c r="U202" s="38" t="str">
        <f aca="false">IF(A202="","",IF(T202&lt;&gt;"","B2B",IF(AND(O202="Yes",SUMIF($A$5:$A$1004,A202,$L$5:$L$1004)+SUMIF($A$5:$A$1004,A202,$P$5:$P$1004)&gt;100000),"B2CL","B2CS")))</f>
        <v/>
      </c>
      <c r="V202" s="17" t="str">
        <f aca="false">IF(A202="","",TEXT(B202,"mmm-yyyy"))</f>
        <v/>
      </c>
    </row>
    <row r="203" customFormat="false" ht="15" hidden="false" customHeight="true" outlineLevel="0" collapsed="false">
      <c r="A203" s="24"/>
      <c r="B203" s="39"/>
      <c r="C203" s="24"/>
      <c r="D203" s="24"/>
      <c r="E203" s="40"/>
      <c r="F203" s="29"/>
      <c r="G203" s="30"/>
      <c r="H203" s="17" t="str">
        <f aca="false">IF(A203="","",A203&amp;"|"&amp;COUNTIF(A$5:A203,A203))</f>
        <v/>
      </c>
      <c r="I203" s="33" t="str">
        <f aca="false">IF(A203="","",IFERROR(INDEX(Items!$B$5:$B$304,MATCH(D203,Items!$A$5:$A$304,0))&amp;"",""))</f>
        <v/>
      </c>
      <c r="J203" s="34" t="str">
        <f aca="false">IF(A203="","",IFERROR(INDEX(Items!$C$5:$C$304,MATCH(D203,Items!$A$5:$A$304,0))&amp;"",""))</f>
        <v/>
      </c>
      <c r="K203" s="35" t="n">
        <f aca="false">IF(A203="",0,IF(ISNUMBER(F203),F203,IFERROR(INDEX(Items!$D$5:$D$304,MATCH(D203,Items!$A$5:$A$304,0)),0)))</f>
        <v>0</v>
      </c>
      <c r="L203" s="35" t="n">
        <f aca="false">ROUND(N(E203)*K203*(1-N(G203)),2)</f>
        <v>0</v>
      </c>
      <c r="M203" s="36" t="n">
        <f aca="false">IF(A203="",0,IFERROR(INDEX(Items!$E$5:$E$304,MATCH(D203,Items!$A$5:$A$304,0)),0))</f>
        <v>0</v>
      </c>
      <c r="N203" s="37" t="str">
        <f aca="false">IF(A203="","",IFERROR(INDEX(Customers!$E$5:$E$204,MATCH(C203,Customers!$A$5:$A$204,0)),"?"))</f>
        <v/>
      </c>
      <c r="O203" s="38" t="str">
        <f aca="false">IF(A203="","",IF(N203=Settings!$B$17,"No","Yes"))</f>
        <v/>
      </c>
      <c r="P203" s="35" t="n">
        <f aca="false">IF(O203="Yes",ROUND(L203*M203,2),0)</f>
        <v>0</v>
      </c>
      <c r="Q203" s="35" t="n">
        <f aca="false">IF(O203="No",ROUND(L203*M203/2,2),0)</f>
        <v>0</v>
      </c>
      <c r="R203" s="35" t="n">
        <f aca="false">Q203</f>
        <v>0</v>
      </c>
      <c r="S203" s="35" t="n">
        <f aca="false">L203+P203+Q203+R203</f>
        <v>0</v>
      </c>
      <c r="T203" s="34" t="str">
        <f aca="false">IF(A203="","",IFERROR(INDEX(Customers!$B$5:$B$204,MATCH(C203,Customers!$A$5:$A$204,0))&amp;"",""))</f>
        <v/>
      </c>
      <c r="U203" s="38" t="str">
        <f aca="false">IF(A203="","",IF(T203&lt;&gt;"","B2B",IF(AND(O203="Yes",SUMIF($A$5:$A$1004,A203,$L$5:$L$1004)+SUMIF($A$5:$A$1004,A203,$P$5:$P$1004)&gt;100000),"B2CL","B2CS")))</f>
        <v/>
      </c>
      <c r="V203" s="17" t="str">
        <f aca="false">IF(A203="","",TEXT(B203,"mmm-yyyy"))</f>
        <v/>
      </c>
    </row>
    <row r="204" customFormat="false" ht="15" hidden="false" customHeight="true" outlineLevel="0" collapsed="false">
      <c r="A204" s="24"/>
      <c r="B204" s="39"/>
      <c r="C204" s="24"/>
      <c r="D204" s="24"/>
      <c r="E204" s="40"/>
      <c r="F204" s="29"/>
      <c r="G204" s="30"/>
      <c r="H204" s="17" t="str">
        <f aca="false">IF(A204="","",A204&amp;"|"&amp;COUNTIF(A$5:A204,A204))</f>
        <v/>
      </c>
      <c r="I204" s="33" t="str">
        <f aca="false">IF(A204="","",IFERROR(INDEX(Items!$B$5:$B$304,MATCH(D204,Items!$A$5:$A$304,0))&amp;"",""))</f>
        <v/>
      </c>
      <c r="J204" s="34" t="str">
        <f aca="false">IF(A204="","",IFERROR(INDEX(Items!$C$5:$C$304,MATCH(D204,Items!$A$5:$A$304,0))&amp;"",""))</f>
        <v/>
      </c>
      <c r="K204" s="35" t="n">
        <f aca="false">IF(A204="",0,IF(ISNUMBER(F204),F204,IFERROR(INDEX(Items!$D$5:$D$304,MATCH(D204,Items!$A$5:$A$304,0)),0)))</f>
        <v>0</v>
      </c>
      <c r="L204" s="35" t="n">
        <f aca="false">ROUND(N(E204)*K204*(1-N(G204)),2)</f>
        <v>0</v>
      </c>
      <c r="M204" s="36" t="n">
        <f aca="false">IF(A204="",0,IFERROR(INDEX(Items!$E$5:$E$304,MATCH(D204,Items!$A$5:$A$304,0)),0))</f>
        <v>0</v>
      </c>
      <c r="N204" s="37" t="str">
        <f aca="false">IF(A204="","",IFERROR(INDEX(Customers!$E$5:$E$204,MATCH(C204,Customers!$A$5:$A$204,0)),"?"))</f>
        <v/>
      </c>
      <c r="O204" s="38" t="str">
        <f aca="false">IF(A204="","",IF(N204=Settings!$B$17,"No","Yes"))</f>
        <v/>
      </c>
      <c r="P204" s="35" t="n">
        <f aca="false">IF(O204="Yes",ROUND(L204*M204,2),0)</f>
        <v>0</v>
      </c>
      <c r="Q204" s="35" t="n">
        <f aca="false">IF(O204="No",ROUND(L204*M204/2,2),0)</f>
        <v>0</v>
      </c>
      <c r="R204" s="35" t="n">
        <f aca="false">Q204</f>
        <v>0</v>
      </c>
      <c r="S204" s="35" t="n">
        <f aca="false">L204+P204+Q204+R204</f>
        <v>0</v>
      </c>
      <c r="T204" s="34" t="str">
        <f aca="false">IF(A204="","",IFERROR(INDEX(Customers!$B$5:$B$204,MATCH(C204,Customers!$A$5:$A$204,0))&amp;"",""))</f>
        <v/>
      </c>
      <c r="U204" s="38" t="str">
        <f aca="false">IF(A204="","",IF(T204&lt;&gt;"","B2B",IF(AND(O204="Yes",SUMIF($A$5:$A$1004,A204,$L$5:$L$1004)+SUMIF($A$5:$A$1004,A204,$P$5:$P$1004)&gt;100000),"B2CL","B2CS")))</f>
        <v/>
      </c>
      <c r="V204" s="17" t="str">
        <f aca="false">IF(A204="","",TEXT(B204,"mmm-yyyy"))</f>
        <v/>
      </c>
    </row>
    <row r="205" customFormat="false" ht="15" hidden="false" customHeight="true" outlineLevel="0" collapsed="false">
      <c r="A205" s="24"/>
      <c r="B205" s="39"/>
      <c r="C205" s="24"/>
      <c r="D205" s="24"/>
      <c r="E205" s="40"/>
      <c r="F205" s="29"/>
      <c r="G205" s="30"/>
      <c r="H205" s="17" t="str">
        <f aca="false">IF(A205="","",A205&amp;"|"&amp;COUNTIF(A$5:A205,A205))</f>
        <v/>
      </c>
      <c r="I205" s="33" t="str">
        <f aca="false">IF(A205="","",IFERROR(INDEX(Items!$B$5:$B$304,MATCH(D205,Items!$A$5:$A$304,0))&amp;"",""))</f>
        <v/>
      </c>
      <c r="J205" s="34" t="str">
        <f aca="false">IF(A205="","",IFERROR(INDEX(Items!$C$5:$C$304,MATCH(D205,Items!$A$5:$A$304,0))&amp;"",""))</f>
        <v/>
      </c>
      <c r="K205" s="35" t="n">
        <f aca="false">IF(A205="",0,IF(ISNUMBER(F205),F205,IFERROR(INDEX(Items!$D$5:$D$304,MATCH(D205,Items!$A$5:$A$304,0)),0)))</f>
        <v>0</v>
      </c>
      <c r="L205" s="35" t="n">
        <f aca="false">ROUND(N(E205)*K205*(1-N(G205)),2)</f>
        <v>0</v>
      </c>
      <c r="M205" s="36" t="n">
        <f aca="false">IF(A205="",0,IFERROR(INDEX(Items!$E$5:$E$304,MATCH(D205,Items!$A$5:$A$304,0)),0))</f>
        <v>0</v>
      </c>
      <c r="N205" s="37" t="str">
        <f aca="false">IF(A205="","",IFERROR(INDEX(Customers!$E$5:$E$204,MATCH(C205,Customers!$A$5:$A$204,0)),"?"))</f>
        <v/>
      </c>
      <c r="O205" s="38" t="str">
        <f aca="false">IF(A205="","",IF(N205=Settings!$B$17,"No","Yes"))</f>
        <v/>
      </c>
      <c r="P205" s="35" t="n">
        <f aca="false">IF(O205="Yes",ROUND(L205*M205,2),0)</f>
        <v>0</v>
      </c>
      <c r="Q205" s="35" t="n">
        <f aca="false">IF(O205="No",ROUND(L205*M205/2,2),0)</f>
        <v>0</v>
      </c>
      <c r="R205" s="35" t="n">
        <f aca="false">Q205</f>
        <v>0</v>
      </c>
      <c r="S205" s="35" t="n">
        <f aca="false">L205+P205+Q205+R205</f>
        <v>0</v>
      </c>
      <c r="T205" s="34" t="str">
        <f aca="false">IF(A205="","",IFERROR(INDEX(Customers!$B$5:$B$204,MATCH(C205,Customers!$A$5:$A$204,0))&amp;"",""))</f>
        <v/>
      </c>
      <c r="U205" s="38" t="str">
        <f aca="false">IF(A205="","",IF(T205&lt;&gt;"","B2B",IF(AND(O205="Yes",SUMIF($A$5:$A$1004,A205,$L$5:$L$1004)+SUMIF($A$5:$A$1004,A205,$P$5:$P$1004)&gt;100000),"B2CL","B2CS")))</f>
        <v/>
      </c>
      <c r="V205" s="17" t="str">
        <f aca="false">IF(A205="","",TEXT(B205,"mmm-yyyy"))</f>
        <v/>
      </c>
    </row>
    <row r="206" customFormat="false" ht="15" hidden="false" customHeight="true" outlineLevel="0" collapsed="false">
      <c r="A206" s="24"/>
      <c r="B206" s="39"/>
      <c r="C206" s="24"/>
      <c r="D206" s="24"/>
      <c r="E206" s="40"/>
      <c r="F206" s="29"/>
      <c r="G206" s="30"/>
      <c r="H206" s="17" t="str">
        <f aca="false">IF(A206="","",A206&amp;"|"&amp;COUNTIF(A$5:A206,A206))</f>
        <v/>
      </c>
      <c r="I206" s="33" t="str">
        <f aca="false">IF(A206="","",IFERROR(INDEX(Items!$B$5:$B$304,MATCH(D206,Items!$A$5:$A$304,0))&amp;"",""))</f>
        <v/>
      </c>
      <c r="J206" s="34" t="str">
        <f aca="false">IF(A206="","",IFERROR(INDEX(Items!$C$5:$C$304,MATCH(D206,Items!$A$5:$A$304,0))&amp;"",""))</f>
        <v/>
      </c>
      <c r="K206" s="35" t="n">
        <f aca="false">IF(A206="",0,IF(ISNUMBER(F206),F206,IFERROR(INDEX(Items!$D$5:$D$304,MATCH(D206,Items!$A$5:$A$304,0)),0)))</f>
        <v>0</v>
      </c>
      <c r="L206" s="35" t="n">
        <f aca="false">ROUND(N(E206)*K206*(1-N(G206)),2)</f>
        <v>0</v>
      </c>
      <c r="M206" s="36" t="n">
        <f aca="false">IF(A206="",0,IFERROR(INDEX(Items!$E$5:$E$304,MATCH(D206,Items!$A$5:$A$304,0)),0))</f>
        <v>0</v>
      </c>
      <c r="N206" s="37" t="str">
        <f aca="false">IF(A206="","",IFERROR(INDEX(Customers!$E$5:$E$204,MATCH(C206,Customers!$A$5:$A$204,0)),"?"))</f>
        <v/>
      </c>
      <c r="O206" s="38" t="str">
        <f aca="false">IF(A206="","",IF(N206=Settings!$B$17,"No","Yes"))</f>
        <v/>
      </c>
      <c r="P206" s="35" t="n">
        <f aca="false">IF(O206="Yes",ROUND(L206*M206,2),0)</f>
        <v>0</v>
      </c>
      <c r="Q206" s="35" t="n">
        <f aca="false">IF(O206="No",ROUND(L206*M206/2,2),0)</f>
        <v>0</v>
      </c>
      <c r="R206" s="35" t="n">
        <f aca="false">Q206</f>
        <v>0</v>
      </c>
      <c r="S206" s="35" t="n">
        <f aca="false">L206+P206+Q206+R206</f>
        <v>0</v>
      </c>
      <c r="T206" s="34" t="str">
        <f aca="false">IF(A206="","",IFERROR(INDEX(Customers!$B$5:$B$204,MATCH(C206,Customers!$A$5:$A$204,0))&amp;"",""))</f>
        <v/>
      </c>
      <c r="U206" s="38" t="str">
        <f aca="false">IF(A206="","",IF(T206&lt;&gt;"","B2B",IF(AND(O206="Yes",SUMIF($A$5:$A$1004,A206,$L$5:$L$1004)+SUMIF($A$5:$A$1004,A206,$P$5:$P$1004)&gt;100000),"B2CL","B2CS")))</f>
        <v/>
      </c>
      <c r="V206" s="17" t="str">
        <f aca="false">IF(A206="","",TEXT(B206,"mmm-yyyy"))</f>
        <v/>
      </c>
    </row>
    <row r="207" customFormat="false" ht="15" hidden="false" customHeight="true" outlineLevel="0" collapsed="false">
      <c r="A207" s="24"/>
      <c r="B207" s="39"/>
      <c r="C207" s="24"/>
      <c r="D207" s="24"/>
      <c r="E207" s="40"/>
      <c r="F207" s="29"/>
      <c r="G207" s="30"/>
      <c r="H207" s="17" t="str">
        <f aca="false">IF(A207="","",A207&amp;"|"&amp;COUNTIF(A$5:A207,A207))</f>
        <v/>
      </c>
      <c r="I207" s="33" t="str">
        <f aca="false">IF(A207="","",IFERROR(INDEX(Items!$B$5:$B$304,MATCH(D207,Items!$A$5:$A$304,0))&amp;"",""))</f>
        <v/>
      </c>
      <c r="J207" s="34" t="str">
        <f aca="false">IF(A207="","",IFERROR(INDEX(Items!$C$5:$C$304,MATCH(D207,Items!$A$5:$A$304,0))&amp;"",""))</f>
        <v/>
      </c>
      <c r="K207" s="35" t="n">
        <f aca="false">IF(A207="",0,IF(ISNUMBER(F207),F207,IFERROR(INDEX(Items!$D$5:$D$304,MATCH(D207,Items!$A$5:$A$304,0)),0)))</f>
        <v>0</v>
      </c>
      <c r="L207" s="35" t="n">
        <f aca="false">ROUND(N(E207)*K207*(1-N(G207)),2)</f>
        <v>0</v>
      </c>
      <c r="M207" s="36" t="n">
        <f aca="false">IF(A207="",0,IFERROR(INDEX(Items!$E$5:$E$304,MATCH(D207,Items!$A$5:$A$304,0)),0))</f>
        <v>0</v>
      </c>
      <c r="N207" s="37" t="str">
        <f aca="false">IF(A207="","",IFERROR(INDEX(Customers!$E$5:$E$204,MATCH(C207,Customers!$A$5:$A$204,0)),"?"))</f>
        <v/>
      </c>
      <c r="O207" s="38" t="str">
        <f aca="false">IF(A207="","",IF(N207=Settings!$B$17,"No","Yes"))</f>
        <v/>
      </c>
      <c r="P207" s="35" t="n">
        <f aca="false">IF(O207="Yes",ROUND(L207*M207,2),0)</f>
        <v>0</v>
      </c>
      <c r="Q207" s="35" t="n">
        <f aca="false">IF(O207="No",ROUND(L207*M207/2,2),0)</f>
        <v>0</v>
      </c>
      <c r="R207" s="35" t="n">
        <f aca="false">Q207</f>
        <v>0</v>
      </c>
      <c r="S207" s="35" t="n">
        <f aca="false">L207+P207+Q207+R207</f>
        <v>0</v>
      </c>
      <c r="T207" s="34" t="str">
        <f aca="false">IF(A207="","",IFERROR(INDEX(Customers!$B$5:$B$204,MATCH(C207,Customers!$A$5:$A$204,0))&amp;"",""))</f>
        <v/>
      </c>
      <c r="U207" s="38" t="str">
        <f aca="false">IF(A207="","",IF(T207&lt;&gt;"","B2B",IF(AND(O207="Yes",SUMIF($A$5:$A$1004,A207,$L$5:$L$1004)+SUMIF($A$5:$A$1004,A207,$P$5:$P$1004)&gt;100000),"B2CL","B2CS")))</f>
        <v/>
      </c>
      <c r="V207" s="17" t="str">
        <f aca="false">IF(A207="","",TEXT(B207,"mmm-yyyy"))</f>
        <v/>
      </c>
    </row>
    <row r="208" customFormat="false" ht="15" hidden="false" customHeight="true" outlineLevel="0" collapsed="false">
      <c r="A208" s="24"/>
      <c r="B208" s="39"/>
      <c r="C208" s="24"/>
      <c r="D208" s="24"/>
      <c r="E208" s="40"/>
      <c r="F208" s="29"/>
      <c r="G208" s="30"/>
      <c r="H208" s="17" t="str">
        <f aca="false">IF(A208="","",A208&amp;"|"&amp;COUNTIF(A$5:A208,A208))</f>
        <v/>
      </c>
      <c r="I208" s="33" t="str">
        <f aca="false">IF(A208="","",IFERROR(INDEX(Items!$B$5:$B$304,MATCH(D208,Items!$A$5:$A$304,0))&amp;"",""))</f>
        <v/>
      </c>
      <c r="J208" s="34" t="str">
        <f aca="false">IF(A208="","",IFERROR(INDEX(Items!$C$5:$C$304,MATCH(D208,Items!$A$5:$A$304,0))&amp;"",""))</f>
        <v/>
      </c>
      <c r="K208" s="35" t="n">
        <f aca="false">IF(A208="",0,IF(ISNUMBER(F208),F208,IFERROR(INDEX(Items!$D$5:$D$304,MATCH(D208,Items!$A$5:$A$304,0)),0)))</f>
        <v>0</v>
      </c>
      <c r="L208" s="35" t="n">
        <f aca="false">ROUND(N(E208)*K208*(1-N(G208)),2)</f>
        <v>0</v>
      </c>
      <c r="M208" s="36" t="n">
        <f aca="false">IF(A208="",0,IFERROR(INDEX(Items!$E$5:$E$304,MATCH(D208,Items!$A$5:$A$304,0)),0))</f>
        <v>0</v>
      </c>
      <c r="N208" s="37" t="str">
        <f aca="false">IF(A208="","",IFERROR(INDEX(Customers!$E$5:$E$204,MATCH(C208,Customers!$A$5:$A$204,0)),"?"))</f>
        <v/>
      </c>
      <c r="O208" s="38" t="str">
        <f aca="false">IF(A208="","",IF(N208=Settings!$B$17,"No","Yes"))</f>
        <v/>
      </c>
      <c r="P208" s="35" t="n">
        <f aca="false">IF(O208="Yes",ROUND(L208*M208,2),0)</f>
        <v>0</v>
      </c>
      <c r="Q208" s="35" t="n">
        <f aca="false">IF(O208="No",ROUND(L208*M208/2,2),0)</f>
        <v>0</v>
      </c>
      <c r="R208" s="35" t="n">
        <f aca="false">Q208</f>
        <v>0</v>
      </c>
      <c r="S208" s="35" t="n">
        <f aca="false">L208+P208+Q208+R208</f>
        <v>0</v>
      </c>
      <c r="T208" s="34" t="str">
        <f aca="false">IF(A208="","",IFERROR(INDEX(Customers!$B$5:$B$204,MATCH(C208,Customers!$A$5:$A$204,0))&amp;"",""))</f>
        <v/>
      </c>
      <c r="U208" s="38" t="str">
        <f aca="false">IF(A208="","",IF(T208&lt;&gt;"","B2B",IF(AND(O208="Yes",SUMIF($A$5:$A$1004,A208,$L$5:$L$1004)+SUMIF($A$5:$A$1004,A208,$P$5:$P$1004)&gt;100000),"B2CL","B2CS")))</f>
        <v/>
      </c>
      <c r="V208" s="17" t="str">
        <f aca="false">IF(A208="","",TEXT(B208,"mmm-yyyy"))</f>
        <v/>
      </c>
    </row>
    <row r="209" customFormat="false" ht="15" hidden="false" customHeight="true" outlineLevel="0" collapsed="false">
      <c r="A209" s="24"/>
      <c r="B209" s="39"/>
      <c r="C209" s="24"/>
      <c r="D209" s="24"/>
      <c r="E209" s="40"/>
      <c r="F209" s="29"/>
      <c r="G209" s="30"/>
      <c r="H209" s="17" t="str">
        <f aca="false">IF(A209="","",A209&amp;"|"&amp;COUNTIF(A$5:A209,A209))</f>
        <v/>
      </c>
      <c r="I209" s="33" t="str">
        <f aca="false">IF(A209="","",IFERROR(INDEX(Items!$B$5:$B$304,MATCH(D209,Items!$A$5:$A$304,0))&amp;"",""))</f>
        <v/>
      </c>
      <c r="J209" s="34" t="str">
        <f aca="false">IF(A209="","",IFERROR(INDEX(Items!$C$5:$C$304,MATCH(D209,Items!$A$5:$A$304,0))&amp;"",""))</f>
        <v/>
      </c>
      <c r="K209" s="35" t="n">
        <f aca="false">IF(A209="",0,IF(ISNUMBER(F209),F209,IFERROR(INDEX(Items!$D$5:$D$304,MATCH(D209,Items!$A$5:$A$304,0)),0)))</f>
        <v>0</v>
      </c>
      <c r="L209" s="35" t="n">
        <f aca="false">ROUND(N(E209)*K209*(1-N(G209)),2)</f>
        <v>0</v>
      </c>
      <c r="M209" s="36" t="n">
        <f aca="false">IF(A209="",0,IFERROR(INDEX(Items!$E$5:$E$304,MATCH(D209,Items!$A$5:$A$304,0)),0))</f>
        <v>0</v>
      </c>
      <c r="N209" s="37" t="str">
        <f aca="false">IF(A209="","",IFERROR(INDEX(Customers!$E$5:$E$204,MATCH(C209,Customers!$A$5:$A$204,0)),"?"))</f>
        <v/>
      </c>
      <c r="O209" s="38" t="str">
        <f aca="false">IF(A209="","",IF(N209=Settings!$B$17,"No","Yes"))</f>
        <v/>
      </c>
      <c r="P209" s="35" t="n">
        <f aca="false">IF(O209="Yes",ROUND(L209*M209,2),0)</f>
        <v>0</v>
      </c>
      <c r="Q209" s="35" t="n">
        <f aca="false">IF(O209="No",ROUND(L209*M209/2,2),0)</f>
        <v>0</v>
      </c>
      <c r="R209" s="35" t="n">
        <f aca="false">Q209</f>
        <v>0</v>
      </c>
      <c r="S209" s="35" t="n">
        <f aca="false">L209+P209+Q209+R209</f>
        <v>0</v>
      </c>
      <c r="T209" s="34" t="str">
        <f aca="false">IF(A209="","",IFERROR(INDEX(Customers!$B$5:$B$204,MATCH(C209,Customers!$A$5:$A$204,0))&amp;"",""))</f>
        <v/>
      </c>
      <c r="U209" s="38" t="str">
        <f aca="false">IF(A209="","",IF(T209&lt;&gt;"","B2B",IF(AND(O209="Yes",SUMIF($A$5:$A$1004,A209,$L$5:$L$1004)+SUMIF($A$5:$A$1004,A209,$P$5:$P$1004)&gt;100000),"B2CL","B2CS")))</f>
        <v/>
      </c>
      <c r="V209" s="17" t="str">
        <f aca="false">IF(A209="","",TEXT(B209,"mmm-yyyy"))</f>
        <v/>
      </c>
    </row>
    <row r="210" customFormat="false" ht="15" hidden="false" customHeight="true" outlineLevel="0" collapsed="false">
      <c r="A210" s="24"/>
      <c r="B210" s="39"/>
      <c r="C210" s="24"/>
      <c r="D210" s="24"/>
      <c r="E210" s="40"/>
      <c r="F210" s="29"/>
      <c r="G210" s="30"/>
      <c r="H210" s="17" t="str">
        <f aca="false">IF(A210="","",A210&amp;"|"&amp;COUNTIF(A$5:A210,A210))</f>
        <v/>
      </c>
      <c r="I210" s="33" t="str">
        <f aca="false">IF(A210="","",IFERROR(INDEX(Items!$B$5:$B$304,MATCH(D210,Items!$A$5:$A$304,0))&amp;"",""))</f>
        <v/>
      </c>
      <c r="J210" s="34" t="str">
        <f aca="false">IF(A210="","",IFERROR(INDEX(Items!$C$5:$C$304,MATCH(D210,Items!$A$5:$A$304,0))&amp;"",""))</f>
        <v/>
      </c>
      <c r="K210" s="35" t="n">
        <f aca="false">IF(A210="",0,IF(ISNUMBER(F210),F210,IFERROR(INDEX(Items!$D$5:$D$304,MATCH(D210,Items!$A$5:$A$304,0)),0)))</f>
        <v>0</v>
      </c>
      <c r="L210" s="35" t="n">
        <f aca="false">ROUND(N(E210)*K210*(1-N(G210)),2)</f>
        <v>0</v>
      </c>
      <c r="M210" s="36" t="n">
        <f aca="false">IF(A210="",0,IFERROR(INDEX(Items!$E$5:$E$304,MATCH(D210,Items!$A$5:$A$304,0)),0))</f>
        <v>0</v>
      </c>
      <c r="N210" s="37" t="str">
        <f aca="false">IF(A210="","",IFERROR(INDEX(Customers!$E$5:$E$204,MATCH(C210,Customers!$A$5:$A$204,0)),"?"))</f>
        <v/>
      </c>
      <c r="O210" s="38" t="str">
        <f aca="false">IF(A210="","",IF(N210=Settings!$B$17,"No","Yes"))</f>
        <v/>
      </c>
      <c r="P210" s="35" t="n">
        <f aca="false">IF(O210="Yes",ROUND(L210*M210,2),0)</f>
        <v>0</v>
      </c>
      <c r="Q210" s="35" t="n">
        <f aca="false">IF(O210="No",ROUND(L210*M210/2,2),0)</f>
        <v>0</v>
      </c>
      <c r="R210" s="35" t="n">
        <f aca="false">Q210</f>
        <v>0</v>
      </c>
      <c r="S210" s="35" t="n">
        <f aca="false">L210+P210+Q210+R210</f>
        <v>0</v>
      </c>
      <c r="T210" s="34" t="str">
        <f aca="false">IF(A210="","",IFERROR(INDEX(Customers!$B$5:$B$204,MATCH(C210,Customers!$A$5:$A$204,0))&amp;"",""))</f>
        <v/>
      </c>
      <c r="U210" s="38" t="str">
        <f aca="false">IF(A210="","",IF(T210&lt;&gt;"","B2B",IF(AND(O210="Yes",SUMIF($A$5:$A$1004,A210,$L$5:$L$1004)+SUMIF($A$5:$A$1004,A210,$P$5:$P$1004)&gt;100000),"B2CL","B2CS")))</f>
        <v/>
      </c>
      <c r="V210" s="17" t="str">
        <f aca="false">IF(A210="","",TEXT(B210,"mmm-yyyy"))</f>
        <v/>
      </c>
    </row>
    <row r="211" customFormat="false" ht="15" hidden="false" customHeight="true" outlineLevel="0" collapsed="false">
      <c r="A211" s="24"/>
      <c r="B211" s="39"/>
      <c r="C211" s="24"/>
      <c r="D211" s="24"/>
      <c r="E211" s="40"/>
      <c r="F211" s="29"/>
      <c r="G211" s="30"/>
      <c r="H211" s="17" t="str">
        <f aca="false">IF(A211="","",A211&amp;"|"&amp;COUNTIF(A$5:A211,A211))</f>
        <v/>
      </c>
      <c r="I211" s="33" t="str">
        <f aca="false">IF(A211="","",IFERROR(INDEX(Items!$B$5:$B$304,MATCH(D211,Items!$A$5:$A$304,0))&amp;"",""))</f>
        <v/>
      </c>
      <c r="J211" s="34" t="str">
        <f aca="false">IF(A211="","",IFERROR(INDEX(Items!$C$5:$C$304,MATCH(D211,Items!$A$5:$A$304,0))&amp;"",""))</f>
        <v/>
      </c>
      <c r="K211" s="35" t="n">
        <f aca="false">IF(A211="",0,IF(ISNUMBER(F211),F211,IFERROR(INDEX(Items!$D$5:$D$304,MATCH(D211,Items!$A$5:$A$304,0)),0)))</f>
        <v>0</v>
      </c>
      <c r="L211" s="35" t="n">
        <f aca="false">ROUND(N(E211)*K211*(1-N(G211)),2)</f>
        <v>0</v>
      </c>
      <c r="M211" s="36" t="n">
        <f aca="false">IF(A211="",0,IFERROR(INDEX(Items!$E$5:$E$304,MATCH(D211,Items!$A$5:$A$304,0)),0))</f>
        <v>0</v>
      </c>
      <c r="N211" s="37" t="str">
        <f aca="false">IF(A211="","",IFERROR(INDEX(Customers!$E$5:$E$204,MATCH(C211,Customers!$A$5:$A$204,0)),"?"))</f>
        <v/>
      </c>
      <c r="O211" s="38" t="str">
        <f aca="false">IF(A211="","",IF(N211=Settings!$B$17,"No","Yes"))</f>
        <v/>
      </c>
      <c r="P211" s="35" t="n">
        <f aca="false">IF(O211="Yes",ROUND(L211*M211,2),0)</f>
        <v>0</v>
      </c>
      <c r="Q211" s="35" t="n">
        <f aca="false">IF(O211="No",ROUND(L211*M211/2,2),0)</f>
        <v>0</v>
      </c>
      <c r="R211" s="35" t="n">
        <f aca="false">Q211</f>
        <v>0</v>
      </c>
      <c r="S211" s="35" t="n">
        <f aca="false">L211+P211+Q211+R211</f>
        <v>0</v>
      </c>
      <c r="T211" s="34" t="str">
        <f aca="false">IF(A211="","",IFERROR(INDEX(Customers!$B$5:$B$204,MATCH(C211,Customers!$A$5:$A$204,0))&amp;"",""))</f>
        <v/>
      </c>
      <c r="U211" s="38" t="str">
        <f aca="false">IF(A211="","",IF(T211&lt;&gt;"","B2B",IF(AND(O211="Yes",SUMIF($A$5:$A$1004,A211,$L$5:$L$1004)+SUMIF($A$5:$A$1004,A211,$P$5:$P$1004)&gt;100000),"B2CL","B2CS")))</f>
        <v/>
      </c>
      <c r="V211" s="17" t="str">
        <f aca="false">IF(A211="","",TEXT(B211,"mmm-yyyy"))</f>
        <v/>
      </c>
    </row>
    <row r="212" customFormat="false" ht="15" hidden="false" customHeight="true" outlineLevel="0" collapsed="false">
      <c r="A212" s="24"/>
      <c r="B212" s="39"/>
      <c r="C212" s="24"/>
      <c r="D212" s="24"/>
      <c r="E212" s="40"/>
      <c r="F212" s="29"/>
      <c r="G212" s="30"/>
      <c r="H212" s="17" t="str">
        <f aca="false">IF(A212="","",A212&amp;"|"&amp;COUNTIF(A$5:A212,A212))</f>
        <v/>
      </c>
      <c r="I212" s="33" t="str">
        <f aca="false">IF(A212="","",IFERROR(INDEX(Items!$B$5:$B$304,MATCH(D212,Items!$A$5:$A$304,0))&amp;"",""))</f>
        <v/>
      </c>
      <c r="J212" s="34" t="str">
        <f aca="false">IF(A212="","",IFERROR(INDEX(Items!$C$5:$C$304,MATCH(D212,Items!$A$5:$A$304,0))&amp;"",""))</f>
        <v/>
      </c>
      <c r="K212" s="35" t="n">
        <f aca="false">IF(A212="",0,IF(ISNUMBER(F212),F212,IFERROR(INDEX(Items!$D$5:$D$304,MATCH(D212,Items!$A$5:$A$304,0)),0)))</f>
        <v>0</v>
      </c>
      <c r="L212" s="35" t="n">
        <f aca="false">ROUND(N(E212)*K212*(1-N(G212)),2)</f>
        <v>0</v>
      </c>
      <c r="M212" s="36" t="n">
        <f aca="false">IF(A212="",0,IFERROR(INDEX(Items!$E$5:$E$304,MATCH(D212,Items!$A$5:$A$304,0)),0))</f>
        <v>0</v>
      </c>
      <c r="N212" s="37" t="str">
        <f aca="false">IF(A212="","",IFERROR(INDEX(Customers!$E$5:$E$204,MATCH(C212,Customers!$A$5:$A$204,0)),"?"))</f>
        <v/>
      </c>
      <c r="O212" s="38" t="str">
        <f aca="false">IF(A212="","",IF(N212=Settings!$B$17,"No","Yes"))</f>
        <v/>
      </c>
      <c r="P212" s="35" t="n">
        <f aca="false">IF(O212="Yes",ROUND(L212*M212,2),0)</f>
        <v>0</v>
      </c>
      <c r="Q212" s="35" t="n">
        <f aca="false">IF(O212="No",ROUND(L212*M212/2,2),0)</f>
        <v>0</v>
      </c>
      <c r="R212" s="35" t="n">
        <f aca="false">Q212</f>
        <v>0</v>
      </c>
      <c r="S212" s="35" t="n">
        <f aca="false">L212+P212+Q212+R212</f>
        <v>0</v>
      </c>
      <c r="T212" s="34" t="str">
        <f aca="false">IF(A212="","",IFERROR(INDEX(Customers!$B$5:$B$204,MATCH(C212,Customers!$A$5:$A$204,0))&amp;"",""))</f>
        <v/>
      </c>
      <c r="U212" s="38" t="str">
        <f aca="false">IF(A212="","",IF(T212&lt;&gt;"","B2B",IF(AND(O212="Yes",SUMIF($A$5:$A$1004,A212,$L$5:$L$1004)+SUMIF($A$5:$A$1004,A212,$P$5:$P$1004)&gt;100000),"B2CL","B2CS")))</f>
        <v/>
      </c>
      <c r="V212" s="17" t="str">
        <f aca="false">IF(A212="","",TEXT(B212,"mmm-yyyy"))</f>
        <v/>
      </c>
    </row>
    <row r="213" customFormat="false" ht="15" hidden="false" customHeight="true" outlineLevel="0" collapsed="false">
      <c r="A213" s="24"/>
      <c r="B213" s="39"/>
      <c r="C213" s="24"/>
      <c r="D213" s="24"/>
      <c r="E213" s="40"/>
      <c r="F213" s="29"/>
      <c r="G213" s="30"/>
      <c r="H213" s="17" t="str">
        <f aca="false">IF(A213="","",A213&amp;"|"&amp;COUNTIF(A$5:A213,A213))</f>
        <v/>
      </c>
      <c r="I213" s="33" t="str">
        <f aca="false">IF(A213="","",IFERROR(INDEX(Items!$B$5:$B$304,MATCH(D213,Items!$A$5:$A$304,0))&amp;"",""))</f>
        <v/>
      </c>
      <c r="J213" s="34" t="str">
        <f aca="false">IF(A213="","",IFERROR(INDEX(Items!$C$5:$C$304,MATCH(D213,Items!$A$5:$A$304,0))&amp;"",""))</f>
        <v/>
      </c>
      <c r="K213" s="35" t="n">
        <f aca="false">IF(A213="",0,IF(ISNUMBER(F213),F213,IFERROR(INDEX(Items!$D$5:$D$304,MATCH(D213,Items!$A$5:$A$304,0)),0)))</f>
        <v>0</v>
      </c>
      <c r="L213" s="35" t="n">
        <f aca="false">ROUND(N(E213)*K213*(1-N(G213)),2)</f>
        <v>0</v>
      </c>
      <c r="M213" s="36" t="n">
        <f aca="false">IF(A213="",0,IFERROR(INDEX(Items!$E$5:$E$304,MATCH(D213,Items!$A$5:$A$304,0)),0))</f>
        <v>0</v>
      </c>
      <c r="N213" s="37" t="str">
        <f aca="false">IF(A213="","",IFERROR(INDEX(Customers!$E$5:$E$204,MATCH(C213,Customers!$A$5:$A$204,0)),"?"))</f>
        <v/>
      </c>
      <c r="O213" s="38" t="str">
        <f aca="false">IF(A213="","",IF(N213=Settings!$B$17,"No","Yes"))</f>
        <v/>
      </c>
      <c r="P213" s="35" t="n">
        <f aca="false">IF(O213="Yes",ROUND(L213*M213,2),0)</f>
        <v>0</v>
      </c>
      <c r="Q213" s="35" t="n">
        <f aca="false">IF(O213="No",ROUND(L213*M213/2,2),0)</f>
        <v>0</v>
      </c>
      <c r="R213" s="35" t="n">
        <f aca="false">Q213</f>
        <v>0</v>
      </c>
      <c r="S213" s="35" t="n">
        <f aca="false">L213+P213+Q213+R213</f>
        <v>0</v>
      </c>
      <c r="T213" s="34" t="str">
        <f aca="false">IF(A213="","",IFERROR(INDEX(Customers!$B$5:$B$204,MATCH(C213,Customers!$A$5:$A$204,0))&amp;"",""))</f>
        <v/>
      </c>
      <c r="U213" s="38" t="str">
        <f aca="false">IF(A213="","",IF(T213&lt;&gt;"","B2B",IF(AND(O213="Yes",SUMIF($A$5:$A$1004,A213,$L$5:$L$1004)+SUMIF($A$5:$A$1004,A213,$P$5:$P$1004)&gt;100000),"B2CL","B2CS")))</f>
        <v/>
      </c>
      <c r="V213" s="17" t="str">
        <f aca="false">IF(A213="","",TEXT(B213,"mmm-yyyy"))</f>
        <v/>
      </c>
    </row>
    <row r="214" customFormat="false" ht="15" hidden="false" customHeight="true" outlineLevel="0" collapsed="false">
      <c r="A214" s="24"/>
      <c r="B214" s="39"/>
      <c r="C214" s="24"/>
      <c r="D214" s="24"/>
      <c r="E214" s="40"/>
      <c r="F214" s="29"/>
      <c r="G214" s="30"/>
      <c r="H214" s="17" t="str">
        <f aca="false">IF(A214="","",A214&amp;"|"&amp;COUNTIF(A$5:A214,A214))</f>
        <v/>
      </c>
      <c r="I214" s="33" t="str">
        <f aca="false">IF(A214="","",IFERROR(INDEX(Items!$B$5:$B$304,MATCH(D214,Items!$A$5:$A$304,0))&amp;"",""))</f>
        <v/>
      </c>
      <c r="J214" s="34" t="str">
        <f aca="false">IF(A214="","",IFERROR(INDEX(Items!$C$5:$C$304,MATCH(D214,Items!$A$5:$A$304,0))&amp;"",""))</f>
        <v/>
      </c>
      <c r="K214" s="35" t="n">
        <f aca="false">IF(A214="",0,IF(ISNUMBER(F214),F214,IFERROR(INDEX(Items!$D$5:$D$304,MATCH(D214,Items!$A$5:$A$304,0)),0)))</f>
        <v>0</v>
      </c>
      <c r="L214" s="35" t="n">
        <f aca="false">ROUND(N(E214)*K214*(1-N(G214)),2)</f>
        <v>0</v>
      </c>
      <c r="M214" s="36" t="n">
        <f aca="false">IF(A214="",0,IFERROR(INDEX(Items!$E$5:$E$304,MATCH(D214,Items!$A$5:$A$304,0)),0))</f>
        <v>0</v>
      </c>
      <c r="N214" s="37" t="str">
        <f aca="false">IF(A214="","",IFERROR(INDEX(Customers!$E$5:$E$204,MATCH(C214,Customers!$A$5:$A$204,0)),"?"))</f>
        <v/>
      </c>
      <c r="O214" s="38" t="str">
        <f aca="false">IF(A214="","",IF(N214=Settings!$B$17,"No","Yes"))</f>
        <v/>
      </c>
      <c r="P214" s="35" t="n">
        <f aca="false">IF(O214="Yes",ROUND(L214*M214,2),0)</f>
        <v>0</v>
      </c>
      <c r="Q214" s="35" t="n">
        <f aca="false">IF(O214="No",ROUND(L214*M214/2,2),0)</f>
        <v>0</v>
      </c>
      <c r="R214" s="35" t="n">
        <f aca="false">Q214</f>
        <v>0</v>
      </c>
      <c r="S214" s="35" t="n">
        <f aca="false">L214+P214+Q214+R214</f>
        <v>0</v>
      </c>
      <c r="T214" s="34" t="str">
        <f aca="false">IF(A214="","",IFERROR(INDEX(Customers!$B$5:$B$204,MATCH(C214,Customers!$A$5:$A$204,0))&amp;"",""))</f>
        <v/>
      </c>
      <c r="U214" s="38" t="str">
        <f aca="false">IF(A214="","",IF(T214&lt;&gt;"","B2B",IF(AND(O214="Yes",SUMIF($A$5:$A$1004,A214,$L$5:$L$1004)+SUMIF($A$5:$A$1004,A214,$P$5:$P$1004)&gt;100000),"B2CL","B2CS")))</f>
        <v/>
      </c>
      <c r="V214" s="17" t="str">
        <f aca="false">IF(A214="","",TEXT(B214,"mmm-yyyy"))</f>
        <v/>
      </c>
    </row>
    <row r="215" customFormat="false" ht="15" hidden="false" customHeight="true" outlineLevel="0" collapsed="false">
      <c r="A215" s="24"/>
      <c r="B215" s="39"/>
      <c r="C215" s="24"/>
      <c r="D215" s="24"/>
      <c r="E215" s="40"/>
      <c r="F215" s="29"/>
      <c r="G215" s="30"/>
      <c r="H215" s="17" t="str">
        <f aca="false">IF(A215="","",A215&amp;"|"&amp;COUNTIF(A$5:A215,A215))</f>
        <v/>
      </c>
      <c r="I215" s="33" t="str">
        <f aca="false">IF(A215="","",IFERROR(INDEX(Items!$B$5:$B$304,MATCH(D215,Items!$A$5:$A$304,0))&amp;"",""))</f>
        <v/>
      </c>
      <c r="J215" s="34" t="str">
        <f aca="false">IF(A215="","",IFERROR(INDEX(Items!$C$5:$C$304,MATCH(D215,Items!$A$5:$A$304,0))&amp;"",""))</f>
        <v/>
      </c>
      <c r="K215" s="35" t="n">
        <f aca="false">IF(A215="",0,IF(ISNUMBER(F215),F215,IFERROR(INDEX(Items!$D$5:$D$304,MATCH(D215,Items!$A$5:$A$304,0)),0)))</f>
        <v>0</v>
      </c>
      <c r="L215" s="35" t="n">
        <f aca="false">ROUND(N(E215)*K215*(1-N(G215)),2)</f>
        <v>0</v>
      </c>
      <c r="M215" s="36" t="n">
        <f aca="false">IF(A215="",0,IFERROR(INDEX(Items!$E$5:$E$304,MATCH(D215,Items!$A$5:$A$304,0)),0))</f>
        <v>0</v>
      </c>
      <c r="N215" s="37" t="str">
        <f aca="false">IF(A215="","",IFERROR(INDEX(Customers!$E$5:$E$204,MATCH(C215,Customers!$A$5:$A$204,0)),"?"))</f>
        <v/>
      </c>
      <c r="O215" s="38" t="str">
        <f aca="false">IF(A215="","",IF(N215=Settings!$B$17,"No","Yes"))</f>
        <v/>
      </c>
      <c r="P215" s="35" t="n">
        <f aca="false">IF(O215="Yes",ROUND(L215*M215,2),0)</f>
        <v>0</v>
      </c>
      <c r="Q215" s="35" t="n">
        <f aca="false">IF(O215="No",ROUND(L215*M215/2,2),0)</f>
        <v>0</v>
      </c>
      <c r="R215" s="35" t="n">
        <f aca="false">Q215</f>
        <v>0</v>
      </c>
      <c r="S215" s="35" t="n">
        <f aca="false">L215+P215+Q215+R215</f>
        <v>0</v>
      </c>
      <c r="T215" s="34" t="str">
        <f aca="false">IF(A215="","",IFERROR(INDEX(Customers!$B$5:$B$204,MATCH(C215,Customers!$A$5:$A$204,0))&amp;"",""))</f>
        <v/>
      </c>
      <c r="U215" s="38" t="str">
        <f aca="false">IF(A215="","",IF(T215&lt;&gt;"","B2B",IF(AND(O215="Yes",SUMIF($A$5:$A$1004,A215,$L$5:$L$1004)+SUMIF($A$5:$A$1004,A215,$P$5:$P$1004)&gt;100000),"B2CL","B2CS")))</f>
        <v/>
      </c>
      <c r="V215" s="17" t="str">
        <f aca="false">IF(A215="","",TEXT(B215,"mmm-yyyy"))</f>
        <v/>
      </c>
    </row>
    <row r="216" customFormat="false" ht="15" hidden="false" customHeight="true" outlineLevel="0" collapsed="false">
      <c r="A216" s="24"/>
      <c r="B216" s="39"/>
      <c r="C216" s="24"/>
      <c r="D216" s="24"/>
      <c r="E216" s="40"/>
      <c r="F216" s="29"/>
      <c r="G216" s="30"/>
      <c r="H216" s="17" t="str">
        <f aca="false">IF(A216="","",A216&amp;"|"&amp;COUNTIF(A$5:A216,A216))</f>
        <v/>
      </c>
      <c r="I216" s="33" t="str">
        <f aca="false">IF(A216="","",IFERROR(INDEX(Items!$B$5:$B$304,MATCH(D216,Items!$A$5:$A$304,0))&amp;"",""))</f>
        <v/>
      </c>
      <c r="J216" s="34" t="str">
        <f aca="false">IF(A216="","",IFERROR(INDEX(Items!$C$5:$C$304,MATCH(D216,Items!$A$5:$A$304,0))&amp;"",""))</f>
        <v/>
      </c>
      <c r="K216" s="35" t="n">
        <f aca="false">IF(A216="",0,IF(ISNUMBER(F216),F216,IFERROR(INDEX(Items!$D$5:$D$304,MATCH(D216,Items!$A$5:$A$304,0)),0)))</f>
        <v>0</v>
      </c>
      <c r="L216" s="35" t="n">
        <f aca="false">ROUND(N(E216)*K216*(1-N(G216)),2)</f>
        <v>0</v>
      </c>
      <c r="M216" s="36" t="n">
        <f aca="false">IF(A216="",0,IFERROR(INDEX(Items!$E$5:$E$304,MATCH(D216,Items!$A$5:$A$304,0)),0))</f>
        <v>0</v>
      </c>
      <c r="N216" s="37" t="str">
        <f aca="false">IF(A216="","",IFERROR(INDEX(Customers!$E$5:$E$204,MATCH(C216,Customers!$A$5:$A$204,0)),"?"))</f>
        <v/>
      </c>
      <c r="O216" s="38" t="str">
        <f aca="false">IF(A216="","",IF(N216=Settings!$B$17,"No","Yes"))</f>
        <v/>
      </c>
      <c r="P216" s="35" t="n">
        <f aca="false">IF(O216="Yes",ROUND(L216*M216,2),0)</f>
        <v>0</v>
      </c>
      <c r="Q216" s="35" t="n">
        <f aca="false">IF(O216="No",ROUND(L216*M216/2,2),0)</f>
        <v>0</v>
      </c>
      <c r="R216" s="35" t="n">
        <f aca="false">Q216</f>
        <v>0</v>
      </c>
      <c r="S216" s="35" t="n">
        <f aca="false">L216+P216+Q216+R216</f>
        <v>0</v>
      </c>
      <c r="T216" s="34" t="str">
        <f aca="false">IF(A216="","",IFERROR(INDEX(Customers!$B$5:$B$204,MATCH(C216,Customers!$A$5:$A$204,0))&amp;"",""))</f>
        <v/>
      </c>
      <c r="U216" s="38" t="str">
        <f aca="false">IF(A216="","",IF(T216&lt;&gt;"","B2B",IF(AND(O216="Yes",SUMIF($A$5:$A$1004,A216,$L$5:$L$1004)+SUMIF($A$5:$A$1004,A216,$P$5:$P$1004)&gt;100000),"B2CL","B2CS")))</f>
        <v/>
      </c>
      <c r="V216" s="17" t="str">
        <f aca="false">IF(A216="","",TEXT(B216,"mmm-yyyy"))</f>
        <v/>
      </c>
    </row>
    <row r="217" customFormat="false" ht="15" hidden="false" customHeight="true" outlineLevel="0" collapsed="false">
      <c r="A217" s="24"/>
      <c r="B217" s="39"/>
      <c r="C217" s="24"/>
      <c r="D217" s="24"/>
      <c r="E217" s="40"/>
      <c r="F217" s="29"/>
      <c r="G217" s="30"/>
      <c r="H217" s="17" t="str">
        <f aca="false">IF(A217="","",A217&amp;"|"&amp;COUNTIF(A$5:A217,A217))</f>
        <v/>
      </c>
      <c r="I217" s="33" t="str">
        <f aca="false">IF(A217="","",IFERROR(INDEX(Items!$B$5:$B$304,MATCH(D217,Items!$A$5:$A$304,0))&amp;"",""))</f>
        <v/>
      </c>
      <c r="J217" s="34" t="str">
        <f aca="false">IF(A217="","",IFERROR(INDEX(Items!$C$5:$C$304,MATCH(D217,Items!$A$5:$A$304,0))&amp;"",""))</f>
        <v/>
      </c>
      <c r="K217" s="35" t="n">
        <f aca="false">IF(A217="",0,IF(ISNUMBER(F217),F217,IFERROR(INDEX(Items!$D$5:$D$304,MATCH(D217,Items!$A$5:$A$304,0)),0)))</f>
        <v>0</v>
      </c>
      <c r="L217" s="35" t="n">
        <f aca="false">ROUND(N(E217)*K217*(1-N(G217)),2)</f>
        <v>0</v>
      </c>
      <c r="M217" s="36" t="n">
        <f aca="false">IF(A217="",0,IFERROR(INDEX(Items!$E$5:$E$304,MATCH(D217,Items!$A$5:$A$304,0)),0))</f>
        <v>0</v>
      </c>
      <c r="N217" s="37" t="str">
        <f aca="false">IF(A217="","",IFERROR(INDEX(Customers!$E$5:$E$204,MATCH(C217,Customers!$A$5:$A$204,0)),"?"))</f>
        <v/>
      </c>
      <c r="O217" s="38" t="str">
        <f aca="false">IF(A217="","",IF(N217=Settings!$B$17,"No","Yes"))</f>
        <v/>
      </c>
      <c r="P217" s="35" t="n">
        <f aca="false">IF(O217="Yes",ROUND(L217*M217,2),0)</f>
        <v>0</v>
      </c>
      <c r="Q217" s="35" t="n">
        <f aca="false">IF(O217="No",ROUND(L217*M217/2,2),0)</f>
        <v>0</v>
      </c>
      <c r="R217" s="35" t="n">
        <f aca="false">Q217</f>
        <v>0</v>
      </c>
      <c r="S217" s="35" t="n">
        <f aca="false">L217+P217+Q217+R217</f>
        <v>0</v>
      </c>
      <c r="T217" s="34" t="str">
        <f aca="false">IF(A217="","",IFERROR(INDEX(Customers!$B$5:$B$204,MATCH(C217,Customers!$A$5:$A$204,0))&amp;"",""))</f>
        <v/>
      </c>
      <c r="U217" s="38" t="str">
        <f aca="false">IF(A217="","",IF(T217&lt;&gt;"","B2B",IF(AND(O217="Yes",SUMIF($A$5:$A$1004,A217,$L$5:$L$1004)+SUMIF($A$5:$A$1004,A217,$P$5:$P$1004)&gt;100000),"B2CL","B2CS")))</f>
        <v/>
      </c>
      <c r="V217" s="17" t="str">
        <f aca="false">IF(A217="","",TEXT(B217,"mmm-yyyy"))</f>
        <v/>
      </c>
    </row>
    <row r="218" customFormat="false" ht="15" hidden="false" customHeight="true" outlineLevel="0" collapsed="false">
      <c r="A218" s="24"/>
      <c r="B218" s="39"/>
      <c r="C218" s="24"/>
      <c r="D218" s="24"/>
      <c r="E218" s="40"/>
      <c r="F218" s="29"/>
      <c r="G218" s="30"/>
      <c r="H218" s="17" t="str">
        <f aca="false">IF(A218="","",A218&amp;"|"&amp;COUNTIF(A$5:A218,A218))</f>
        <v/>
      </c>
      <c r="I218" s="33" t="str">
        <f aca="false">IF(A218="","",IFERROR(INDEX(Items!$B$5:$B$304,MATCH(D218,Items!$A$5:$A$304,0))&amp;"",""))</f>
        <v/>
      </c>
      <c r="J218" s="34" t="str">
        <f aca="false">IF(A218="","",IFERROR(INDEX(Items!$C$5:$C$304,MATCH(D218,Items!$A$5:$A$304,0))&amp;"",""))</f>
        <v/>
      </c>
      <c r="K218" s="35" t="n">
        <f aca="false">IF(A218="",0,IF(ISNUMBER(F218),F218,IFERROR(INDEX(Items!$D$5:$D$304,MATCH(D218,Items!$A$5:$A$304,0)),0)))</f>
        <v>0</v>
      </c>
      <c r="L218" s="35" t="n">
        <f aca="false">ROUND(N(E218)*K218*(1-N(G218)),2)</f>
        <v>0</v>
      </c>
      <c r="M218" s="36" t="n">
        <f aca="false">IF(A218="",0,IFERROR(INDEX(Items!$E$5:$E$304,MATCH(D218,Items!$A$5:$A$304,0)),0))</f>
        <v>0</v>
      </c>
      <c r="N218" s="37" t="str">
        <f aca="false">IF(A218="","",IFERROR(INDEX(Customers!$E$5:$E$204,MATCH(C218,Customers!$A$5:$A$204,0)),"?"))</f>
        <v/>
      </c>
      <c r="O218" s="38" t="str">
        <f aca="false">IF(A218="","",IF(N218=Settings!$B$17,"No","Yes"))</f>
        <v/>
      </c>
      <c r="P218" s="35" t="n">
        <f aca="false">IF(O218="Yes",ROUND(L218*M218,2),0)</f>
        <v>0</v>
      </c>
      <c r="Q218" s="35" t="n">
        <f aca="false">IF(O218="No",ROUND(L218*M218/2,2),0)</f>
        <v>0</v>
      </c>
      <c r="R218" s="35" t="n">
        <f aca="false">Q218</f>
        <v>0</v>
      </c>
      <c r="S218" s="35" t="n">
        <f aca="false">L218+P218+Q218+R218</f>
        <v>0</v>
      </c>
      <c r="T218" s="34" t="str">
        <f aca="false">IF(A218="","",IFERROR(INDEX(Customers!$B$5:$B$204,MATCH(C218,Customers!$A$5:$A$204,0))&amp;"",""))</f>
        <v/>
      </c>
      <c r="U218" s="38" t="str">
        <f aca="false">IF(A218="","",IF(T218&lt;&gt;"","B2B",IF(AND(O218="Yes",SUMIF($A$5:$A$1004,A218,$L$5:$L$1004)+SUMIF($A$5:$A$1004,A218,$P$5:$P$1004)&gt;100000),"B2CL","B2CS")))</f>
        <v/>
      </c>
      <c r="V218" s="17" t="str">
        <f aca="false">IF(A218="","",TEXT(B218,"mmm-yyyy"))</f>
        <v/>
      </c>
    </row>
    <row r="219" customFormat="false" ht="15" hidden="false" customHeight="true" outlineLevel="0" collapsed="false">
      <c r="A219" s="24"/>
      <c r="B219" s="39"/>
      <c r="C219" s="24"/>
      <c r="D219" s="24"/>
      <c r="E219" s="40"/>
      <c r="F219" s="29"/>
      <c r="G219" s="30"/>
      <c r="H219" s="17" t="str">
        <f aca="false">IF(A219="","",A219&amp;"|"&amp;COUNTIF(A$5:A219,A219))</f>
        <v/>
      </c>
      <c r="I219" s="33" t="str">
        <f aca="false">IF(A219="","",IFERROR(INDEX(Items!$B$5:$B$304,MATCH(D219,Items!$A$5:$A$304,0))&amp;"",""))</f>
        <v/>
      </c>
      <c r="J219" s="34" t="str">
        <f aca="false">IF(A219="","",IFERROR(INDEX(Items!$C$5:$C$304,MATCH(D219,Items!$A$5:$A$304,0))&amp;"",""))</f>
        <v/>
      </c>
      <c r="K219" s="35" t="n">
        <f aca="false">IF(A219="",0,IF(ISNUMBER(F219),F219,IFERROR(INDEX(Items!$D$5:$D$304,MATCH(D219,Items!$A$5:$A$304,0)),0)))</f>
        <v>0</v>
      </c>
      <c r="L219" s="35" t="n">
        <f aca="false">ROUND(N(E219)*K219*(1-N(G219)),2)</f>
        <v>0</v>
      </c>
      <c r="M219" s="36" t="n">
        <f aca="false">IF(A219="",0,IFERROR(INDEX(Items!$E$5:$E$304,MATCH(D219,Items!$A$5:$A$304,0)),0))</f>
        <v>0</v>
      </c>
      <c r="N219" s="37" t="str">
        <f aca="false">IF(A219="","",IFERROR(INDEX(Customers!$E$5:$E$204,MATCH(C219,Customers!$A$5:$A$204,0)),"?"))</f>
        <v/>
      </c>
      <c r="O219" s="38" t="str">
        <f aca="false">IF(A219="","",IF(N219=Settings!$B$17,"No","Yes"))</f>
        <v/>
      </c>
      <c r="P219" s="35" t="n">
        <f aca="false">IF(O219="Yes",ROUND(L219*M219,2),0)</f>
        <v>0</v>
      </c>
      <c r="Q219" s="35" t="n">
        <f aca="false">IF(O219="No",ROUND(L219*M219/2,2),0)</f>
        <v>0</v>
      </c>
      <c r="R219" s="35" t="n">
        <f aca="false">Q219</f>
        <v>0</v>
      </c>
      <c r="S219" s="35" t="n">
        <f aca="false">L219+P219+Q219+R219</f>
        <v>0</v>
      </c>
      <c r="T219" s="34" t="str">
        <f aca="false">IF(A219="","",IFERROR(INDEX(Customers!$B$5:$B$204,MATCH(C219,Customers!$A$5:$A$204,0))&amp;"",""))</f>
        <v/>
      </c>
      <c r="U219" s="38" t="str">
        <f aca="false">IF(A219="","",IF(T219&lt;&gt;"","B2B",IF(AND(O219="Yes",SUMIF($A$5:$A$1004,A219,$L$5:$L$1004)+SUMIF($A$5:$A$1004,A219,$P$5:$P$1004)&gt;100000),"B2CL","B2CS")))</f>
        <v/>
      </c>
      <c r="V219" s="17" t="str">
        <f aca="false">IF(A219="","",TEXT(B219,"mmm-yyyy"))</f>
        <v/>
      </c>
    </row>
    <row r="220" customFormat="false" ht="15" hidden="false" customHeight="true" outlineLevel="0" collapsed="false">
      <c r="A220" s="24"/>
      <c r="B220" s="39"/>
      <c r="C220" s="24"/>
      <c r="D220" s="24"/>
      <c r="E220" s="40"/>
      <c r="F220" s="29"/>
      <c r="G220" s="30"/>
      <c r="H220" s="17" t="str">
        <f aca="false">IF(A220="","",A220&amp;"|"&amp;COUNTIF(A$5:A220,A220))</f>
        <v/>
      </c>
      <c r="I220" s="33" t="str">
        <f aca="false">IF(A220="","",IFERROR(INDEX(Items!$B$5:$B$304,MATCH(D220,Items!$A$5:$A$304,0))&amp;"",""))</f>
        <v/>
      </c>
      <c r="J220" s="34" t="str">
        <f aca="false">IF(A220="","",IFERROR(INDEX(Items!$C$5:$C$304,MATCH(D220,Items!$A$5:$A$304,0))&amp;"",""))</f>
        <v/>
      </c>
      <c r="K220" s="35" t="n">
        <f aca="false">IF(A220="",0,IF(ISNUMBER(F220),F220,IFERROR(INDEX(Items!$D$5:$D$304,MATCH(D220,Items!$A$5:$A$304,0)),0)))</f>
        <v>0</v>
      </c>
      <c r="L220" s="35" t="n">
        <f aca="false">ROUND(N(E220)*K220*(1-N(G220)),2)</f>
        <v>0</v>
      </c>
      <c r="M220" s="36" t="n">
        <f aca="false">IF(A220="",0,IFERROR(INDEX(Items!$E$5:$E$304,MATCH(D220,Items!$A$5:$A$304,0)),0))</f>
        <v>0</v>
      </c>
      <c r="N220" s="37" t="str">
        <f aca="false">IF(A220="","",IFERROR(INDEX(Customers!$E$5:$E$204,MATCH(C220,Customers!$A$5:$A$204,0)),"?"))</f>
        <v/>
      </c>
      <c r="O220" s="38" t="str">
        <f aca="false">IF(A220="","",IF(N220=Settings!$B$17,"No","Yes"))</f>
        <v/>
      </c>
      <c r="P220" s="35" t="n">
        <f aca="false">IF(O220="Yes",ROUND(L220*M220,2),0)</f>
        <v>0</v>
      </c>
      <c r="Q220" s="35" t="n">
        <f aca="false">IF(O220="No",ROUND(L220*M220/2,2),0)</f>
        <v>0</v>
      </c>
      <c r="R220" s="35" t="n">
        <f aca="false">Q220</f>
        <v>0</v>
      </c>
      <c r="S220" s="35" t="n">
        <f aca="false">L220+P220+Q220+R220</f>
        <v>0</v>
      </c>
      <c r="T220" s="34" t="str">
        <f aca="false">IF(A220="","",IFERROR(INDEX(Customers!$B$5:$B$204,MATCH(C220,Customers!$A$5:$A$204,0))&amp;"",""))</f>
        <v/>
      </c>
      <c r="U220" s="38" t="str">
        <f aca="false">IF(A220="","",IF(T220&lt;&gt;"","B2B",IF(AND(O220="Yes",SUMIF($A$5:$A$1004,A220,$L$5:$L$1004)+SUMIF($A$5:$A$1004,A220,$P$5:$P$1004)&gt;100000),"B2CL","B2CS")))</f>
        <v/>
      </c>
      <c r="V220" s="17" t="str">
        <f aca="false">IF(A220="","",TEXT(B220,"mmm-yyyy"))</f>
        <v/>
      </c>
    </row>
    <row r="221" customFormat="false" ht="15" hidden="false" customHeight="true" outlineLevel="0" collapsed="false">
      <c r="A221" s="24"/>
      <c r="B221" s="39"/>
      <c r="C221" s="24"/>
      <c r="D221" s="24"/>
      <c r="E221" s="40"/>
      <c r="F221" s="29"/>
      <c r="G221" s="30"/>
      <c r="H221" s="17" t="str">
        <f aca="false">IF(A221="","",A221&amp;"|"&amp;COUNTIF(A$5:A221,A221))</f>
        <v/>
      </c>
      <c r="I221" s="33" t="str">
        <f aca="false">IF(A221="","",IFERROR(INDEX(Items!$B$5:$B$304,MATCH(D221,Items!$A$5:$A$304,0))&amp;"",""))</f>
        <v/>
      </c>
      <c r="J221" s="34" t="str">
        <f aca="false">IF(A221="","",IFERROR(INDEX(Items!$C$5:$C$304,MATCH(D221,Items!$A$5:$A$304,0))&amp;"",""))</f>
        <v/>
      </c>
      <c r="K221" s="35" t="n">
        <f aca="false">IF(A221="",0,IF(ISNUMBER(F221),F221,IFERROR(INDEX(Items!$D$5:$D$304,MATCH(D221,Items!$A$5:$A$304,0)),0)))</f>
        <v>0</v>
      </c>
      <c r="L221" s="35" t="n">
        <f aca="false">ROUND(N(E221)*K221*(1-N(G221)),2)</f>
        <v>0</v>
      </c>
      <c r="M221" s="36" t="n">
        <f aca="false">IF(A221="",0,IFERROR(INDEX(Items!$E$5:$E$304,MATCH(D221,Items!$A$5:$A$304,0)),0))</f>
        <v>0</v>
      </c>
      <c r="N221" s="37" t="str">
        <f aca="false">IF(A221="","",IFERROR(INDEX(Customers!$E$5:$E$204,MATCH(C221,Customers!$A$5:$A$204,0)),"?"))</f>
        <v/>
      </c>
      <c r="O221" s="38" t="str">
        <f aca="false">IF(A221="","",IF(N221=Settings!$B$17,"No","Yes"))</f>
        <v/>
      </c>
      <c r="P221" s="35" t="n">
        <f aca="false">IF(O221="Yes",ROUND(L221*M221,2),0)</f>
        <v>0</v>
      </c>
      <c r="Q221" s="35" t="n">
        <f aca="false">IF(O221="No",ROUND(L221*M221/2,2),0)</f>
        <v>0</v>
      </c>
      <c r="R221" s="35" t="n">
        <f aca="false">Q221</f>
        <v>0</v>
      </c>
      <c r="S221" s="35" t="n">
        <f aca="false">L221+P221+Q221+R221</f>
        <v>0</v>
      </c>
      <c r="T221" s="34" t="str">
        <f aca="false">IF(A221="","",IFERROR(INDEX(Customers!$B$5:$B$204,MATCH(C221,Customers!$A$5:$A$204,0))&amp;"",""))</f>
        <v/>
      </c>
      <c r="U221" s="38" t="str">
        <f aca="false">IF(A221="","",IF(T221&lt;&gt;"","B2B",IF(AND(O221="Yes",SUMIF($A$5:$A$1004,A221,$L$5:$L$1004)+SUMIF($A$5:$A$1004,A221,$P$5:$P$1004)&gt;100000),"B2CL","B2CS")))</f>
        <v/>
      </c>
      <c r="V221" s="17" t="str">
        <f aca="false">IF(A221="","",TEXT(B221,"mmm-yyyy"))</f>
        <v/>
      </c>
    </row>
    <row r="222" customFormat="false" ht="15" hidden="false" customHeight="true" outlineLevel="0" collapsed="false">
      <c r="A222" s="24"/>
      <c r="B222" s="39"/>
      <c r="C222" s="24"/>
      <c r="D222" s="24"/>
      <c r="E222" s="40"/>
      <c r="F222" s="29"/>
      <c r="G222" s="30"/>
      <c r="H222" s="17" t="str">
        <f aca="false">IF(A222="","",A222&amp;"|"&amp;COUNTIF(A$5:A222,A222))</f>
        <v/>
      </c>
      <c r="I222" s="33" t="str">
        <f aca="false">IF(A222="","",IFERROR(INDEX(Items!$B$5:$B$304,MATCH(D222,Items!$A$5:$A$304,0))&amp;"",""))</f>
        <v/>
      </c>
      <c r="J222" s="34" t="str">
        <f aca="false">IF(A222="","",IFERROR(INDEX(Items!$C$5:$C$304,MATCH(D222,Items!$A$5:$A$304,0))&amp;"",""))</f>
        <v/>
      </c>
      <c r="K222" s="35" t="n">
        <f aca="false">IF(A222="",0,IF(ISNUMBER(F222),F222,IFERROR(INDEX(Items!$D$5:$D$304,MATCH(D222,Items!$A$5:$A$304,0)),0)))</f>
        <v>0</v>
      </c>
      <c r="L222" s="35" t="n">
        <f aca="false">ROUND(N(E222)*K222*(1-N(G222)),2)</f>
        <v>0</v>
      </c>
      <c r="M222" s="36" t="n">
        <f aca="false">IF(A222="",0,IFERROR(INDEX(Items!$E$5:$E$304,MATCH(D222,Items!$A$5:$A$304,0)),0))</f>
        <v>0</v>
      </c>
      <c r="N222" s="37" t="str">
        <f aca="false">IF(A222="","",IFERROR(INDEX(Customers!$E$5:$E$204,MATCH(C222,Customers!$A$5:$A$204,0)),"?"))</f>
        <v/>
      </c>
      <c r="O222" s="38" t="str">
        <f aca="false">IF(A222="","",IF(N222=Settings!$B$17,"No","Yes"))</f>
        <v/>
      </c>
      <c r="P222" s="35" t="n">
        <f aca="false">IF(O222="Yes",ROUND(L222*M222,2),0)</f>
        <v>0</v>
      </c>
      <c r="Q222" s="35" t="n">
        <f aca="false">IF(O222="No",ROUND(L222*M222/2,2),0)</f>
        <v>0</v>
      </c>
      <c r="R222" s="35" t="n">
        <f aca="false">Q222</f>
        <v>0</v>
      </c>
      <c r="S222" s="35" t="n">
        <f aca="false">L222+P222+Q222+R222</f>
        <v>0</v>
      </c>
      <c r="T222" s="34" t="str">
        <f aca="false">IF(A222="","",IFERROR(INDEX(Customers!$B$5:$B$204,MATCH(C222,Customers!$A$5:$A$204,0))&amp;"",""))</f>
        <v/>
      </c>
      <c r="U222" s="38" t="str">
        <f aca="false">IF(A222="","",IF(T222&lt;&gt;"","B2B",IF(AND(O222="Yes",SUMIF($A$5:$A$1004,A222,$L$5:$L$1004)+SUMIF($A$5:$A$1004,A222,$P$5:$P$1004)&gt;100000),"B2CL","B2CS")))</f>
        <v/>
      </c>
      <c r="V222" s="17" t="str">
        <f aca="false">IF(A222="","",TEXT(B222,"mmm-yyyy"))</f>
        <v/>
      </c>
    </row>
    <row r="223" customFormat="false" ht="15" hidden="false" customHeight="true" outlineLevel="0" collapsed="false">
      <c r="A223" s="24"/>
      <c r="B223" s="39"/>
      <c r="C223" s="24"/>
      <c r="D223" s="24"/>
      <c r="E223" s="40"/>
      <c r="F223" s="29"/>
      <c r="G223" s="30"/>
      <c r="H223" s="17" t="str">
        <f aca="false">IF(A223="","",A223&amp;"|"&amp;COUNTIF(A$5:A223,A223))</f>
        <v/>
      </c>
      <c r="I223" s="33" t="str">
        <f aca="false">IF(A223="","",IFERROR(INDEX(Items!$B$5:$B$304,MATCH(D223,Items!$A$5:$A$304,0))&amp;"",""))</f>
        <v/>
      </c>
      <c r="J223" s="34" t="str">
        <f aca="false">IF(A223="","",IFERROR(INDEX(Items!$C$5:$C$304,MATCH(D223,Items!$A$5:$A$304,0))&amp;"",""))</f>
        <v/>
      </c>
      <c r="K223" s="35" t="n">
        <f aca="false">IF(A223="",0,IF(ISNUMBER(F223),F223,IFERROR(INDEX(Items!$D$5:$D$304,MATCH(D223,Items!$A$5:$A$304,0)),0)))</f>
        <v>0</v>
      </c>
      <c r="L223" s="35" t="n">
        <f aca="false">ROUND(N(E223)*K223*(1-N(G223)),2)</f>
        <v>0</v>
      </c>
      <c r="M223" s="36" t="n">
        <f aca="false">IF(A223="",0,IFERROR(INDEX(Items!$E$5:$E$304,MATCH(D223,Items!$A$5:$A$304,0)),0))</f>
        <v>0</v>
      </c>
      <c r="N223" s="37" t="str">
        <f aca="false">IF(A223="","",IFERROR(INDEX(Customers!$E$5:$E$204,MATCH(C223,Customers!$A$5:$A$204,0)),"?"))</f>
        <v/>
      </c>
      <c r="O223" s="38" t="str">
        <f aca="false">IF(A223="","",IF(N223=Settings!$B$17,"No","Yes"))</f>
        <v/>
      </c>
      <c r="P223" s="35" t="n">
        <f aca="false">IF(O223="Yes",ROUND(L223*M223,2),0)</f>
        <v>0</v>
      </c>
      <c r="Q223" s="35" t="n">
        <f aca="false">IF(O223="No",ROUND(L223*M223/2,2),0)</f>
        <v>0</v>
      </c>
      <c r="R223" s="35" t="n">
        <f aca="false">Q223</f>
        <v>0</v>
      </c>
      <c r="S223" s="35" t="n">
        <f aca="false">L223+P223+Q223+R223</f>
        <v>0</v>
      </c>
      <c r="T223" s="34" t="str">
        <f aca="false">IF(A223="","",IFERROR(INDEX(Customers!$B$5:$B$204,MATCH(C223,Customers!$A$5:$A$204,0))&amp;"",""))</f>
        <v/>
      </c>
      <c r="U223" s="38" t="str">
        <f aca="false">IF(A223="","",IF(T223&lt;&gt;"","B2B",IF(AND(O223="Yes",SUMIF($A$5:$A$1004,A223,$L$5:$L$1004)+SUMIF($A$5:$A$1004,A223,$P$5:$P$1004)&gt;100000),"B2CL","B2CS")))</f>
        <v/>
      </c>
      <c r="V223" s="17" t="str">
        <f aca="false">IF(A223="","",TEXT(B223,"mmm-yyyy"))</f>
        <v/>
      </c>
    </row>
    <row r="224" customFormat="false" ht="15" hidden="false" customHeight="true" outlineLevel="0" collapsed="false">
      <c r="A224" s="24"/>
      <c r="B224" s="39"/>
      <c r="C224" s="24"/>
      <c r="D224" s="24"/>
      <c r="E224" s="40"/>
      <c r="F224" s="29"/>
      <c r="G224" s="30"/>
      <c r="H224" s="17" t="str">
        <f aca="false">IF(A224="","",A224&amp;"|"&amp;COUNTIF(A$5:A224,A224))</f>
        <v/>
      </c>
      <c r="I224" s="33" t="str">
        <f aca="false">IF(A224="","",IFERROR(INDEX(Items!$B$5:$B$304,MATCH(D224,Items!$A$5:$A$304,0))&amp;"",""))</f>
        <v/>
      </c>
      <c r="J224" s="34" t="str">
        <f aca="false">IF(A224="","",IFERROR(INDEX(Items!$C$5:$C$304,MATCH(D224,Items!$A$5:$A$304,0))&amp;"",""))</f>
        <v/>
      </c>
      <c r="K224" s="35" t="n">
        <f aca="false">IF(A224="",0,IF(ISNUMBER(F224),F224,IFERROR(INDEX(Items!$D$5:$D$304,MATCH(D224,Items!$A$5:$A$304,0)),0)))</f>
        <v>0</v>
      </c>
      <c r="L224" s="35" t="n">
        <f aca="false">ROUND(N(E224)*K224*(1-N(G224)),2)</f>
        <v>0</v>
      </c>
      <c r="M224" s="36" t="n">
        <f aca="false">IF(A224="",0,IFERROR(INDEX(Items!$E$5:$E$304,MATCH(D224,Items!$A$5:$A$304,0)),0))</f>
        <v>0</v>
      </c>
      <c r="N224" s="37" t="str">
        <f aca="false">IF(A224="","",IFERROR(INDEX(Customers!$E$5:$E$204,MATCH(C224,Customers!$A$5:$A$204,0)),"?"))</f>
        <v/>
      </c>
      <c r="O224" s="38" t="str">
        <f aca="false">IF(A224="","",IF(N224=Settings!$B$17,"No","Yes"))</f>
        <v/>
      </c>
      <c r="P224" s="35" t="n">
        <f aca="false">IF(O224="Yes",ROUND(L224*M224,2),0)</f>
        <v>0</v>
      </c>
      <c r="Q224" s="35" t="n">
        <f aca="false">IF(O224="No",ROUND(L224*M224/2,2),0)</f>
        <v>0</v>
      </c>
      <c r="R224" s="35" t="n">
        <f aca="false">Q224</f>
        <v>0</v>
      </c>
      <c r="S224" s="35" t="n">
        <f aca="false">L224+P224+Q224+R224</f>
        <v>0</v>
      </c>
      <c r="T224" s="34" t="str">
        <f aca="false">IF(A224="","",IFERROR(INDEX(Customers!$B$5:$B$204,MATCH(C224,Customers!$A$5:$A$204,0))&amp;"",""))</f>
        <v/>
      </c>
      <c r="U224" s="38" t="str">
        <f aca="false">IF(A224="","",IF(T224&lt;&gt;"","B2B",IF(AND(O224="Yes",SUMIF($A$5:$A$1004,A224,$L$5:$L$1004)+SUMIF($A$5:$A$1004,A224,$P$5:$P$1004)&gt;100000),"B2CL","B2CS")))</f>
        <v/>
      </c>
      <c r="V224" s="17" t="str">
        <f aca="false">IF(A224="","",TEXT(B224,"mmm-yyyy"))</f>
        <v/>
      </c>
    </row>
    <row r="225" customFormat="false" ht="15" hidden="false" customHeight="true" outlineLevel="0" collapsed="false">
      <c r="A225" s="24"/>
      <c r="B225" s="39"/>
      <c r="C225" s="24"/>
      <c r="D225" s="24"/>
      <c r="E225" s="40"/>
      <c r="F225" s="29"/>
      <c r="G225" s="30"/>
      <c r="H225" s="17" t="str">
        <f aca="false">IF(A225="","",A225&amp;"|"&amp;COUNTIF(A$5:A225,A225))</f>
        <v/>
      </c>
      <c r="I225" s="33" t="str">
        <f aca="false">IF(A225="","",IFERROR(INDEX(Items!$B$5:$B$304,MATCH(D225,Items!$A$5:$A$304,0))&amp;"",""))</f>
        <v/>
      </c>
      <c r="J225" s="34" t="str">
        <f aca="false">IF(A225="","",IFERROR(INDEX(Items!$C$5:$C$304,MATCH(D225,Items!$A$5:$A$304,0))&amp;"",""))</f>
        <v/>
      </c>
      <c r="K225" s="35" t="n">
        <f aca="false">IF(A225="",0,IF(ISNUMBER(F225),F225,IFERROR(INDEX(Items!$D$5:$D$304,MATCH(D225,Items!$A$5:$A$304,0)),0)))</f>
        <v>0</v>
      </c>
      <c r="L225" s="35" t="n">
        <f aca="false">ROUND(N(E225)*K225*(1-N(G225)),2)</f>
        <v>0</v>
      </c>
      <c r="M225" s="36" t="n">
        <f aca="false">IF(A225="",0,IFERROR(INDEX(Items!$E$5:$E$304,MATCH(D225,Items!$A$5:$A$304,0)),0))</f>
        <v>0</v>
      </c>
      <c r="N225" s="37" t="str">
        <f aca="false">IF(A225="","",IFERROR(INDEX(Customers!$E$5:$E$204,MATCH(C225,Customers!$A$5:$A$204,0)),"?"))</f>
        <v/>
      </c>
      <c r="O225" s="38" t="str">
        <f aca="false">IF(A225="","",IF(N225=Settings!$B$17,"No","Yes"))</f>
        <v/>
      </c>
      <c r="P225" s="35" t="n">
        <f aca="false">IF(O225="Yes",ROUND(L225*M225,2),0)</f>
        <v>0</v>
      </c>
      <c r="Q225" s="35" t="n">
        <f aca="false">IF(O225="No",ROUND(L225*M225/2,2),0)</f>
        <v>0</v>
      </c>
      <c r="R225" s="35" t="n">
        <f aca="false">Q225</f>
        <v>0</v>
      </c>
      <c r="S225" s="35" t="n">
        <f aca="false">L225+P225+Q225+R225</f>
        <v>0</v>
      </c>
      <c r="T225" s="34" t="str">
        <f aca="false">IF(A225="","",IFERROR(INDEX(Customers!$B$5:$B$204,MATCH(C225,Customers!$A$5:$A$204,0))&amp;"",""))</f>
        <v/>
      </c>
      <c r="U225" s="38" t="str">
        <f aca="false">IF(A225="","",IF(T225&lt;&gt;"","B2B",IF(AND(O225="Yes",SUMIF($A$5:$A$1004,A225,$L$5:$L$1004)+SUMIF($A$5:$A$1004,A225,$P$5:$P$1004)&gt;100000),"B2CL","B2CS")))</f>
        <v/>
      </c>
      <c r="V225" s="17" t="str">
        <f aca="false">IF(A225="","",TEXT(B225,"mmm-yyyy"))</f>
        <v/>
      </c>
    </row>
    <row r="226" customFormat="false" ht="15" hidden="false" customHeight="true" outlineLevel="0" collapsed="false">
      <c r="A226" s="24"/>
      <c r="B226" s="39"/>
      <c r="C226" s="24"/>
      <c r="D226" s="24"/>
      <c r="E226" s="40"/>
      <c r="F226" s="29"/>
      <c r="G226" s="30"/>
      <c r="H226" s="17" t="str">
        <f aca="false">IF(A226="","",A226&amp;"|"&amp;COUNTIF(A$5:A226,A226))</f>
        <v/>
      </c>
      <c r="I226" s="33" t="str">
        <f aca="false">IF(A226="","",IFERROR(INDEX(Items!$B$5:$B$304,MATCH(D226,Items!$A$5:$A$304,0))&amp;"",""))</f>
        <v/>
      </c>
      <c r="J226" s="34" t="str">
        <f aca="false">IF(A226="","",IFERROR(INDEX(Items!$C$5:$C$304,MATCH(D226,Items!$A$5:$A$304,0))&amp;"",""))</f>
        <v/>
      </c>
      <c r="K226" s="35" t="n">
        <f aca="false">IF(A226="",0,IF(ISNUMBER(F226),F226,IFERROR(INDEX(Items!$D$5:$D$304,MATCH(D226,Items!$A$5:$A$304,0)),0)))</f>
        <v>0</v>
      </c>
      <c r="L226" s="35" t="n">
        <f aca="false">ROUND(N(E226)*K226*(1-N(G226)),2)</f>
        <v>0</v>
      </c>
      <c r="M226" s="36" t="n">
        <f aca="false">IF(A226="",0,IFERROR(INDEX(Items!$E$5:$E$304,MATCH(D226,Items!$A$5:$A$304,0)),0))</f>
        <v>0</v>
      </c>
      <c r="N226" s="37" t="str">
        <f aca="false">IF(A226="","",IFERROR(INDEX(Customers!$E$5:$E$204,MATCH(C226,Customers!$A$5:$A$204,0)),"?"))</f>
        <v/>
      </c>
      <c r="O226" s="38" t="str">
        <f aca="false">IF(A226="","",IF(N226=Settings!$B$17,"No","Yes"))</f>
        <v/>
      </c>
      <c r="P226" s="35" t="n">
        <f aca="false">IF(O226="Yes",ROUND(L226*M226,2),0)</f>
        <v>0</v>
      </c>
      <c r="Q226" s="35" t="n">
        <f aca="false">IF(O226="No",ROUND(L226*M226/2,2),0)</f>
        <v>0</v>
      </c>
      <c r="R226" s="35" t="n">
        <f aca="false">Q226</f>
        <v>0</v>
      </c>
      <c r="S226" s="35" t="n">
        <f aca="false">L226+P226+Q226+R226</f>
        <v>0</v>
      </c>
      <c r="T226" s="34" t="str">
        <f aca="false">IF(A226="","",IFERROR(INDEX(Customers!$B$5:$B$204,MATCH(C226,Customers!$A$5:$A$204,0))&amp;"",""))</f>
        <v/>
      </c>
      <c r="U226" s="38" t="str">
        <f aca="false">IF(A226="","",IF(T226&lt;&gt;"","B2B",IF(AND(O226="Yes",SUMIF($A$5:$A$1004,A226,$L$5:$L$1004)+SUMIF($A$5:$A$1004,A226,$P$5:$P$1004)&gt;100000),"B2CL","B2CS")))</f>
        <v/>
      </c>
      <c r="V226" s="17" t="str">
        <f aca="false">IF(A226="","",TEXT(B226,"mmm-yyyy"))</f>
        <v/>
      </c>
    </row>
    <row r="227" customFormat="false" ht="15" hidden="false" customHeight="true" outlineLevel="0" collapsed="false">
      <c r="A227" s="24"/>
      <c r="B227" s="39"/>
      <c r="C227" s="24"/>
      <c r="D227" s="24"/>
      <c r="E227" s="40"/>
      <c r="F227" s="29"/>
      <c r="G227" s="30"/>
      <c r="H227" s="17" t="str">
        <f aca="false">IF(A227="","",A227&amp;"|"&amp;COUNTIF(A$5:A227,A227))</f>
        <v/>
      </c>
      <c r="I227" s="33" t="str">
        <f aca="false">IF(A227="","",IFERROR(INDEX(Items!$B$5:$B$304,MATCH(D227,Items!$A$5:$A$304,0))&amp;"",""))</f>
        <v/>
      </c>
      <c r="J227" s="34" t="str">
        <f aca="false">IF(A227="","",IFERROR(INDEX(Items!$C$5:$C$304,MATCH(D227,Items!$A$5:$A$304,0))&amp;"",""))</f>
        <v/>
      </c>
      <c r="K227" s="35" t="n">
        <f aca="false">IF(A227="",0,IF(ISNUMBER(F227),F227,IFERROR(INDEX(Items!$D$5:$D$304,MATCH(D227,Items!$A$5:$A$304,0)),0)))</f>
        <v>0</v>
      </c>
      <c r="L227" s="35" t="n">
        <f aca="false">ROUND(N(E227)*K227*(1-N(G227)),2)</f>
        <v>0</v>
      </c>
      <c r="M227" s="36" t="n">
        <f aca="false">IF(A227="",0,IFERROR(INDEX(Items!$E$5:$E$304,MATCH(D227,Items!$A$5:$A$304,0)),0))</f>
        <v>0</v>
      </c>
      <c r="N227" s="37" t="str">
        <f aca="false">IF(A227="","",IFERROR(INDEX(Customers!$E$5:$E$204,MATCH(C227,Customers!$A$5:$A$204,0)),"?"))</f>
        <v/>
      </c>
      <c r="O227" s="38" t="str">
        <f aca="false">IF(A227="","",IF(N227=Settings!$B$17,"No","Yes"))</f>
        <v/>
      </c>
      <c r="P227" s="35" t="n">
        <f aca="false">IF(O227="Yes",ROUND(L227*M227,2),0)</f>
        <v>0</v>
      </c>
      <c r="Q227" s="35" t="n">
        <f aca="false">IF(O227="No",ROUND(L227*M227/2,2),0)</f>
        <v>0</v>
      </c>
      <c r="R227" s="35" t="n">
        <f aca="false">Q227</f>
        <v>0</v>
      </c>
      <c r="S227" s="35" t="n">
        <f aca="false">L227+P227+Q227+R227</f>
        <v>0</v>
      </c>
      <c r="T227" s="34" t="str">
        <f aca="false">IF(A227="","",IFERROR(INDEX(Customers!$B$5:$B$204,MATCH(C227,Customers!$A$5:$A$204,0))&amp;"",""))</f>
        <v/>
      </c>
      <c r="U227" s="38" t="str">
        <f aca="false">IF(A227="","",IF(T227&lt;&gt;"","B2B",IF(AND(O227="Yes",SUMIF($A$5:$A$1004,A227,$L$5:$L$1004)+SUMIF($A$5:$A$1004,A227,$P$5:$P$1004)&gt;100000),"B2CL","B2CS")))</f>
        <v/>
      </c>
      <c r="V227" s="17" t="str">
        <f aca="false">IF(A227="","",TEXT(B227,"mmm-yyyy"))</f>
        <v/>
      </c>
    </row>
    <row r="228" customFormat="false" ht="15" hidden="false" customHeight="true" outlineLevel="0" collapsed="false">
      <c r="A228" s="24"/>
      <c r="B228" s="39"/>
      <c r="C228" s="24"/>
      <c r="D228" s="24"/>
      <c r="E228" s="40"/>
      <c r="F228" s="29"/>
      <c r="G228" s="30"/>
      <c r="H228" s="17" t="str">
        <f aca="false">IF(A228="","",A228&amp;"|"&amp;COUNTIF(A$5:A228,A228))</f>
        <v/>
      </c>
      <c r="I228" s="33" t="str">
        <f aca="false">IF(A228="","",IFERROR(INDEX(Items!$B$5:$B$304,MATCH(D228,Items!$A$5:$A$304,0))&amp;"",""))</f>
        <v/>
      </c>
      <c r="J228" s="34" t="str">
        <f aca="false">IF(A228="","",IFERROR(INDEX(Items!$C$5:$C$304,MATCH(D228,Items!$A$5:$A$304,0))&amp;"",""))</f>
        <v/>
      </c>
      <c r="K228" s="35" t="n">
        <f aca="false">IF(A228="",0,IF(ISNUMBER(F228),F228,IFERROR(INDEX(Items!$D$5:$D$304,MATCH(D228,Items!$A$5:$A$304,0)),0)))</f>
        <v>0</v>
      </c>
      <c r="L228" s="35" t="n">
        <f aca="false">ROUND(N(E228)*K228*(1-N(G228)),2)</f>
        <v>0</v>
      </c>
      <c r="M228" s="36" t="n">
        <f aca="false">IF(A228="",0,IFERROR(INDEX(Items!$E$5:$E$304,MATCH(D228,Items!$A$5:$A$304,0)),0))</f>
        <v>0</v>
      </c>
      <c r="N228" s="37" t="str">
        <f aca="false">IF(A228="","",IFERROR(INDEX(Customers!$E$5:$E$204,MATCH(C228,Customers!$A$5:$A$204,0)),"?"))</f>
        <v/>
      </c>
      <c r="O228" s="38" t="str">
        <f aca="false">IF(A228="","",IF(N228=Settings!$B$17,"No","Yes"))</f>
        <v/>
      </c>
      <c r="P228" s="35" t="n">
        <f aca="false">IF(O228="Yes",ROUND(L228*M228,2),0)</f>
        <v>0</v>
      </c>
      <c r="Q228" s="35" t="n">
        <f aca="false">IF(O228="No",ROUND(L228*M228/2,2),0)</f>
        <v>0</v>
      </c>
      <c r="R228" s="35" t="n">
        <f aca="false">Q228</f>
        <v>0</v>
      </c>
      <c r="S228" s="35" t="n">
        <f aca="false">L228+P228+Q228+R228</f>
        <v>0</v>
      </c>
      <c r="T228" s="34" t="str">
        <f aca="false">IF(A228="","",IFERROR(INDEX(Customers!$B$5:$B$204,MATCH(C228,Customers!$A$5:$A$204,0))&amp;"",""))</f>
        <v/>
      </c>
      <c r="U228" s="38" t="str">
        <f aca="false">IF(A228="","",IF(T228&lt;&gt;"","B2B",IF(AND(O228="Yes",SUMIF($A$5:$A$1004,A228,$L$5:$L$1004)+SUMIF($A$5:$A$1004,A228,$P$5:$P$1004)&gt;100000),"B2CL","B2CS")))</f>
        <v/>
      </c>
      <c r="V228" s="17" t="str">
        <f aca="false">IF(A228="","",TEXT(B228,"mmm-yyyy"))</f>
        <v/>
      </c>
    </row>
    <row r="229" customFormat="false" ht="15" hidden="false" customHeight="true" outlineLevel="0" collapsed="false">
      <c r="A229" s="24"/>
      <c r="B229" s="39"/>
      <c r="C229" s="24"/>
      <c r="D229" s="24"/>
      <c r="E229" s="40"/>
      <c r="F229" s="29"/>
      <c r="G229" s="30"/>
      <c r="H229" s="17" t="str">
        <f aca="false">IF(A229="","",A229&amp;"|"&amp;COUNTIF(A$5:A229,A229))</f>
        <v/>
      </c>
      <c r="I229" s="33" t="str">
        <f aca="false">IF(A229="","",IFERROR(INDEX(Items!$B$5:$B$304,MATCH(D229,Items!$A$5:$A$304,0))&amp;"",""))</f>
        <v/>
      </c>
      <c r="J229" s="34" t="str">
        <f aca="false">IF(A229="","",IFERROR(INDEX(Items!$C$5:$C$304,MATCH(D229,Items!$A$5:$A$304,0))&amp;"",""))</f>
        <v/>
      </c>
      <c r="K229" s="35" t="n">
        <f aca="false">IF(A229="",0,IF(ISNUMBER(F229),F229,IFERROR(INDEX(Items!$D$5:$D$304,MATCH(D229,Items!$A$5:$A$304,0)),0)))</f>
        <v>0</v>
      </c>
      <c r="L229" s="35" t="n">
        <f aca="false">ROUND(N(E229)*K229*(1-N(G229)),2)</f>
        <v>0</v>
      </c>
      <c r="M229" s="36" t="n">
        <f aca="false">IF(A229="",0,IFERROR(INDEX(Items!$E$5:$E$304,MATCH(D229,Items!$A$5:$A$304,0)),0))</f>
        <v>0</v>
      </c>
      <c r="N229" s="37" t="str">
        <f aca="false">IF(A229="","",IFERROR(INDEX(Customers!$E$5:$E$204,MATCH(C229,Customers!$A$5:$A$204,0)),"?"))</f>
        <v/>
      </c>
      <c r="O229" s="38" t="str">
        <f aca="false">IF(A229="","",IF(N229=Settings!$B$17,"No","Yes"))</f>
        <v/>
      </c>
      <c r="P229" s="35" t="n">
        <f aca="false">IF(O229="Yes",ROUND(L229*M229,2),0)</f>
        <v>0</v>
      </c>
      <c r="Q229" s="35" t="n">
        <f aca="false">IF(O229="No",ROUND(L229*M229/2,2),0)</f>
        <v>0</v>
      </c>
      <c r="R229" s="35" t="n">
        <f aca="false">Q229</f>
        <v>0</v>
      </c>
      <c r="S229" s="35" t="n">
        <f aca="false">L229+P229+Q229+R229</f>
        <v>0</v>
      </c>
      <c r="T229" s="34" t="str">
        <f aca="false">IF(A229="","",IFERROR(INDEX(Customers!$B$5:$B$204,MATCH(C229,Customers!$A$5:$A$204,0))&amp;"",""))</f>
        <v/>
      </c>
      <c r="U229" s="38" t="str">
        <f aca="false">IF(A229="","",IF(T229&lt;&gt;"","B2B",IF(AND(O229="Yes",SUMIF($A$5:$A$1004,A229,$L$5:$L$1004)+SUMIF($A$5:$A$1004,A229,$P$5:$P$1004)&gt;100000),"B2CL","B2CS")))</f>
        <v/>
      </c>
      <c r="V229" s="17" t="str">
        <f aca="false">IF(A229="","",TEXT(B229,"mmm-yyyy"))</f>
        <v/>
      </c>
    </row>
    <row r="230" customFormat="false" ht="15" hidden="false" customHeight="true" outlineLevel="0" collapsed="false">
      <c r="A230" s="24"/>
      <c r="B230" s="39"/>
      <c r="C230" s="24"/>
      <c r="D230" s="24"/>
      <c r="E230" s="40"/>
      <c r="F230" s="29"/>
      <c r="G230" s="30"/>
      <c r="H230" s="17" t="str">
        <f aca="false">IF(A230="","",A230&amp;"|"&amp;COUNTIF(A$5:A230,A230))</f>
        <v/>
      </c>
      <c r="I230" s="33" t="str">
        <f aca="false">IF(A230="","",IFERROR(INDEX(Items!$B$5:$B$304,MATCH(D230,Items!$A$5:$A$304,0))&amp;"",""))</f>
        <v/>
      </c>
      <c r="J230" s="34" t="str">
        <f aca="false">IF(A230="","",IFERROR(INDEX(Items!$C$5:$C$304,MATCH(D230,Items!$A$5:$A$304,0))&amp;"",""))</f>
        <v/>
      </c>
      <c r="K230" s="35" t="n">
        <f aca="false">IF(A230="",0,IF(ISNUMBER(F230),F230,IFERROR(INDEX(Items!$D$5:$D$304,MATCH(D230,Items!$A$5:$A$304,0)),0)))</f>
        <v>0</v>
      </c>
      <c r="L230" s="35" t="n">
        <f aca="false">ROUND(N(E230)*K230*(1-N(G230)),2)</f>
        <v>0</v>
      </c>
      <c r="M230" s="36" t="n">
        <f aca="false">IF(A230="",0,IFERROR(INDEX(Items!$E$5:$E$304,MATCH(D230,Items!$A$5:$A$304,0)),0))</f>
        <v>0</v>
      </c>
      <c r="N230" s="37" t="str">
        <f aca="false">IF(A230="","",IFERROR(INDEX(Customers!$E$5:$E$204,MATCH(C230,Customers!$A$5:$A$204,0)),"?"))</f>
        <v/>
      </c>
      <c r="O230" s="38" t="str">
        <f aca="false">IF(A230="","",IF(N230=Settings!$B$17,"No","Yes"))</f>
        <v/>
      </c>
      <c r="P230" s="35" t="n">
        <f aca="false">IF(O230="Yes",ROUND(L230*M230,2),0)</f>
        <v>0</v>
      </c>
      <c r="Q230" s="35" t="n">
        <f aca="false">IF(O230="No",ROUND(L230*M230/2,2),0)</f>
        <v>0</v>
      </c>
      <c r="R230" s="35" t="n">
        <f aca="false">Q230</f>
        <v>0</v>
      </c>
      <c r="S230" s="35" t="n">
        <f aca="false">L230+P230+Q230+R230</f>
        <v>0</v>
      </c>
      <c r="T230" s="34" t="str">
        <f aca="false">IF(A230="","",IFERROR(INDEX(Customers!$B$5:$B$204,MATCH(C230,Customers!$A$5:$A$204,0))&amp;"",""))</f>
        <v/>
      </c>
      <c r="U230" s="38" t="str">
        <f aca="false">IF(A230="","",IF(T230&lt;&gt;"","B2B",IF(AND(O230="Yes",SUMIF($A$5:$A$1004,A230,$L$5:$L$1004)+SUMIF($A$5:$A$1004,A230,$P$5:$P$1004)&gt;100000),"B2CL","B2CS")))</f>
        <v/>
      </c>
      <c r="V230" s="17" t="str">
        <f aca="false">IF(A230="","",TEXT(B230,"mmm-yyyy"))</f>
        <v/>
      </c>
    </row>
    <row r="231" customFormat="false" ht="15" hidden="false" customHeight="true" outlineLevel="0" collapsed="false">
      <c r="A231" s="24"/>
      <c r="B231" s="39"/>
      <c r="C231" s="24"/>
      <c r="D231" s="24"/>
      <c r="E231" s="40"/>
      <c r="F231" s="29"/>
      <c r="G231" s="30"/>
      <c r="H231" s="17" t="str">
        <f aca="false">IF(A231="","",A231&amp;"|"&amp;COUNTIF(A$5:A231,A231))</f>
        <v/>
      </c>
      <c r="I231" s="33" t="str">
        <f aca="false">IF(A231="","",IFERROR(INDEX(Items!$B$5:$B$304,MATCH(D231,Items!$A$5:$A$304,0))&amp;"",""))</f>
        <v/>
      </c>
      <c r="J231" s="34" t="str">
        <f aca="false">IF(A231="","",IFERROR(INDEX(Items!$C$5:$C$304,MATCH(D231,Items!$A$5:$A$304,0))&amp;"",""))</f>
        <v/>
      </c>
      <c r="K231" s="35" t="n">
        <f aca="false">IF(A231="",0,IF(ISNUMBER(F231),F231,IFERROR(INDEX(Items!$D$5:$D$304,MATCH(D231,Items!$A$5:$A$304,0)),0)))</f>
        <v>0</v>
      </c>
      <c r="L231" s="35" t="n">
        <f aca="false">ROUND(N(E231)*K231*(1-N(G231)),2)</f>
        <v>0</v>
      </c>
      <c r="M231" s="36" t="n">
        <f aca="false">IF(A231="",0,IFERROR(INDEX(Items!$E$5:$E$304,MATCH(D231,Items!$A$5:$A$304,0)),0))</f>
        <v>0</v>
      </c>
      <c r="N231" s="37" t="str">
        <f aca="false">IF(A231="","",IFERROR(INDEX(Customers!$E$5:$E$204,MATCH(C231,Customers!$A$5:$A$204,0)),"?"))</f>
        <v/>
      </c>
      <c r="O231" s="38" t="str">
        <f aca="false">IF(A231="","",IF(N231=Settings!$B$17,"No","Yes"))</f>
        <v/>
      </c>
      <c r="P231" s="35" t="n">
        <f aca="false">IF(O231="Yes",ROUND(L231*M231,2),0)</f>
        <v>0</v>
      </c>
      <c r="Q231" s="35" t="n">
        <f aca="false">IF(O231="No",ROUND(L231*M231/2,2),0)</f>
        <v>0</v>
      </c>
      <c r="R231" s="35" t="n">
        <f aca="false">Q231</f>
        <v>0</v>
      </c>
      <c r="S231" s="35" t="n">
        <f aca="false">L231+P231+Q231+R231</f>
        <v>0</v>
      </c>
      <c r="T231" s="34" t="str">
        <f aca="false">IF(A231="","",IFERROR(INDEX(Customers!$B$5:$B$204,MATCH(C231,Customers!$A$5:$A$204,0))&amp;"",""))</f>
        <v/>
      </c>
      <c r="U231" s="38" t="str">
        <f aca="false">IF(A231="","",IF(T231&lt;&gt;"","B2B",IF(AND(O231="Yes",SUMIF($A$5:$A$1004,A231,$L$5:$L$1004)+SUMIF($A$5:$A$1004,A231,$P$5:$P$1004)&gt;100000),"B2CL","B2CS")))</f>
        <v/>
      </c>
      <c r="V231" s="17" t="str">
        <f aca="false">IF(A231="","",TEXT(B231,"mmm-yyyy"))</f>
        <v/>
      </c>
    </row>
    <row r="232" customFormat="false" ht="15" hidden="false" customHeight="true" outlineLevel="0" collapsed="false">
      <c r="A232" s="24"/>
      <c r="B232" s="39"/>
      <c r="C232" s="24"/>
      <c r="D232" s="24"/>
      <c r="E232" s="40"/>
      <c r="F232" s="29"/>
      <c r="G232" s="30"/>
      <c r="H232" s="17" t="str">
        <f aca="false">IF(A232="","",A232&amp;"|"&amp;COUNTIF(A$5:A232,A232))</f>
        <v/>
      </c>
      <c r="I232" s="33" t="str">
        <f aca="false">IF(A232="","",IFERROR(INDEX(Items!$B$5:$B$304,MATCH(D232,Items!$A$5:$A$304,0))&amp;"",""))</f>
        <v/>
      </c>
      <c r="J232" s="34" t="str">
        <f aca="false">IF(A232="","",IFERROR(INDEX(Items!$C$5:$C$304,MATCH(D232,Items!$A$5:$A$304,0))&amp;"",""))</f>
        <v/>
      </c>
      <c r="K232" s="35" t="n">
        <f aca="false">IF(A232="",0,IF(ISNUMBER(F232),F232,IFERROR(INDEX(Items!$D$5:$D$304,MATCH(D232,Items!$A$5:$A$304,0)),0)))</f>
        <v>0</v>
      </c>
      <c r="L232" s="35" t="n">
        <f aca="false">ROUND(N(E232)*K232*(1-N(G232)),2)</f>
        <v>0</v>
      </c>
      <c r="M232" s="36" t="n">
        <f aca="false">IF(A232="",0,IFERROR(INDEX(Items!$E$5:$E$304,MATCH(D232,Items!$A$5:$A$304,0)),0))</f>
        <v>0</v>
      </c>
      <c r="N232" s="37" t="str">
        <f aca="false">IF(A232="","",IFERROR(INDEX(Customers!$E$5:$E$204,MATCH(C232,Customers!$A$5:$A$204,0)),"?"))</f>
        <v/>
      </c>
      <c r="O232" s="38" t="str">
        <f aca="false">IF(A232="","",IF(N232=Settings!$B$17,"No","Yes"))</f>
        <v/>
      </c>
      <c r="P232" s="35" t="n">
        <f aca="false">IF(O232="Yes",ROUND(L232*M232,2),0)</f>
        <v>0</v>
      </c>
      <c r="Q232" s="35" t="n">
        <f aca="false">IF(O232="No",ROUND(L232*M232/2,2),0)</f>
        <v>0</v>
      </c>
      <c r="R232" s="35" t="n">
        <f aca="false">Q232</f>
        <v>0</v>
      </c>
      <c r="S232" s="35" t="n">
        <f aca="false">L232+P232+Q232+R232</f>
        <v>0</v>
      </c>
      <c r="T232" s="34" t="str">
        <f aca="false">IF(A232="","",IFERROR(INDEX(Customers!$B$5:$B$204,MATCH(C232,Customers!$A$5:$A$204,0))&amp;"",""))</f>
        <v/>
      </c>
      <c r="U232" s="38" t="str">
        <f aca="false">IF(A232="","",IF(T232&lt;&gt;"","B2B",IF(AND(O232="Yes",SUMIF($A$5:$A$1004,A232,$L$5:$L$1004)+SUMIF($A$5:$A$1004,A232,$P$5:$P$1004)&gt;100000),"B2CL","B2CS")))</f>
        <v/>
      </c>
      <c r="V232" s="17" t="str">
        <f aca="false">IF(A232="","",TEXT(B232,"mmm-yyyy"))</f>
        <v/>
      </c>
    </row>
    <row r="233" customFormat="false" ht="15" hidden="false" customHeight="true" outlineLevel="0" collapsed="false">
      <c r="A233" s="24"/>
      <c r="B233" s="39"/>
      <c r="C233" s="24"/>
      <c r="D233" s="24"/>
      <c r="E233" s="40"/>
      <c r="F233" s="29"/>
      <c r="G233" s="30"/>
      <c r="H233" s="17" t="str">
        <f aca="false">IF(A233="","",A233&amp;"|"&amp;COUNTIF(A$5:A233,A233))</f>
        <v/>
      </c>
      <c r="I233" s="33" t="str">
        <f aca="false">IF(A233="","",IFERROR(INDEX(Items!$B$5:$B$304,MATCH(D233,Items!$A$5:$A$304,0))&amp;"",""))</f>
        <v/>
      </c>
      <c r="J233" s="34" t="str">
        <f aca="false">IF(A233="","",IFERROR(INDEX(Items!$C$5:$C$304,MATCH(D233,Items!$A$5:$A$304,0))&amp;"",""))</f>
        <v/>
      </c>
      <c r="K233" s="35" t="n">
        <f aca="false">IF(A233="",0,IF(ISNUMBER(F233),F233,IFERROR(INDEX(Items!$D$5:$D$304,MATCH(D233,Items!$A$5:$A$304,0)),0)))</f>
        <v>0</v>
      </c>
      <c r="L233" s="35" t="n">
        <f aca="false">ROUND(N(E233)*K233*(1-N(G233)),2)</f>
        <v>0</v>
      </c>
      <c r="M233" s="36" t="n">
        <f aca="false">IF(A233="",0,IFERROR(INDEX(Items!$E$5:$E$304,MATCH(D233,Items!$A$5:$A$304,0)),0))</f>
        <v>0</v>
      </c>
      <c r="N233" s="37" t="str">
        <f aca="false">IF(A233="","",IFERROR(INDEX(Customers!$E$5:$E$204,MATCH(C233,Customers!$A$5:$A$204,0)),"?"))</f>
        <v/>
      </c>
      <c r="O233" s="38" t="str">
        <f aca="false">IF(A233="","",IF(N233=Settings!$B$17,"No","Yes"))</f>
        <v/>
      </c>
      <c r="P233" s="35" t="n">
        <f aca="false">IF(O233="Yes",ROUND(L233*M233,2),0)</f>
        <v>0</v>
      </c>
      <c r="Q233" s="35" t="n">
        <f aca="false">IF(O233="No",ROUND(L233*M233/2,2),0)</f>
        <v>0</v>
      </c>
      <c r="R233" s="35" t="n">
        <f aca="false">Q233</f>
        <v>0</v>
      </c>
      <c r="S233" s="35" t="n">
        <f aca="false">L233+P233+Q233+R233</f>
        <v>0</v>
      </c>
      <c r="T233" s="34" t="str">
        <f aca="false">IF(A233="","",IFERROR(INDEX(Customers!$B$5:$B$204,MATCH(C233,Customers!$A$5:$A$204,0))&amp;"",""))</f>
        <v/>
      </c>
      <c r="U233" s="38" t="str">
        <f aca="false">IF(A233="","",IF(T233&lt;&gt;"","B2B",IF(AND(O233="Yes",SUMIF($A$5:$A$1004,A233,$L$5:$L$1004)+SUMIF($A$5:$A$1004,A233,$P$5:$P$1004)&gt;100000),"B2CL","B2CS")))</f>
        <v/>
      </c>
      <c r="V233" s="17" t="str">
        <f aca="false">IF(A233="","",TEXT(B233,"mmm-yyyy"))</f>
        <v/>
      </c>
    </row>
    <row r="234" customFormat="false" ht="15" hidden="false" customHeight="true" outlineLevel="0" collapsed="false">
      <c r="A234" s="24"/>
      <c r="B234" s="39"/>
      <c r="C234" s="24"/>
      <c r="D234" s="24"/>
      <c r="E234" s="40"/>
      <c r="F234" s="29"/>
      <c r="G234" s="30"/>
      <c r="H234" s="17" t="str">
        <f aca="false">IF(A234="","",A234&amp;"|"&amp;COUNTIF(A$5:A234,A234))</f>
        <v/>
      </c>
      <c r="I234" s="33" t="str">
        <f aca="false">IF(A234="","",IFERROR(INDEX(Items!$B$5:$B$304,MATCH(D234,Items!$A$5:$A$304,0))&amp;"",""))</f>
        <v/>
      </c>
      <c r="J234" s="34" t="str">
        <f aca="false">IF(A234="","",IFERROR(INDEX(Items!$C$5:$C$304,MATCH(D234,Items!$A$5:$A$304,0))&amp;"",""))</f>
        <v/>
      </c>
      <c r="K234" s="35" t="n">
        <f aca="false">IF(A234="",0,IF(ISNUMBER(F234),F234,IFERROR(INDEX(Items!$D$5:$D$304,MATCH(D234,Items!$A$5:$A$304,0)),0)))</f>
        <v>0</v>
      </c>
      <c r="L234" s="35" t="n">
        <f aca="false">ROUND(N(E234)*K234*(1-N(G234)),2)</f>
        <v>0</v>
      </c>
      <c r="M234" s="36" t="n">
        <f aca="false">IF(A234="",0,IFERROR(INDEX(Items!$E$5:$E$304,MATCH(D234,Items!$A$5:$A$304,0)),0))</f>
        <v>0</v>
      </c>
      <c r="N234" s="37" t="str">
        <f aca="false">IF(A234="","",IFERROR(INDEX(Customers!$E$5:$E$204,MATCH(C234,Customers!$A$5:$A$204,0)),"?"))</f>
        <v/>
      </c>
      <c r="O234" s="38" t="str">
        <f aca="false">IF(A234="","",IF(N234=Settings!$B$17,"No","Yes"))</f>
        <v/>
      </c>
      <c r="P234" s="35" t="n">
        <f aca="false">IF(O234="Yes",ROUND(L234*M234,2),0)</f>
        <v>0</v>
      </c>
      <c r="Q234" s="35" t="n">
        <f aca="false">IF(O234="No",ROUND(L234*M234/2,2),0)</f>
        <v>0</v>
      </c>
      <c r="R234" s="35" t="n">
        <f aca="false">Q234</f>
        <v>0</v>
      </c>
      <c r="S234" s="35" t="n">
        <f aca="false">L234+P234+Q234+R234</f>
        <v>0</v>
      </c>
      <c r="T234" s="34" t="str">
        <f aca="false">IF(A234="","",IFERROR(INDEX(Customers!$B$5:$B$204,MATCH(C234,Customers!$A$5:$A$204,0))&amp;"",""))</f>
        <v/>
      </c>
      <c r="U234" s="38" t="str">
        <f aca="false">IF(A234="","",IF(T234&lt;&gt;"","B2B",IF(AND(O234="Yes",SUMIF($A$5:$A$1004,A234,$L$5:$L$1004)+SUMIF($A$5:$A$1004,A234,$P$5:$P$1004)&gt;100000),"B2CL","B2CS")))</f>
        <v/>
      </c>
      <c r="V234" s="17" t="str">
        <f aca="false">IF(A234="","",TEXT(B234,"mmm-yyyy"))</f>
        <v/>
      </c>
    </row>
    <row r="235" customFormat="false" ht="15" hidden="false" customHeight="true" outlineLevel="0" collapsed="false">
      <c r="A235" s="24"/>
      <c r="B235" s="39"/>
      <c r="C235" s="24"/>
      <c r="D235" s="24"/>
      <c r="E235" s="40"/>
      <c r="F235" s="29"/>
      <c r="G235" s="30"/>
      <c r="H235" s="17" t="str">
        <f aca="false">IF(A235="","",A235&amp;"|"&amp;COUNTIF(A$5:A235,A235))</f>
        <v/>
      </c>
      <c r="I235" s="33" t="str">
        <f aca="false">IF(A235="","",IFERROR(INDEX(Items!$B$5:$B$304,MATCH(D235,Items!$A$5:$A$304,0))&amp;"",""))</f>
        <v/>
      </c>
      <c r="J235" s="34" t="str">
        <f aca="false">IF(A235="","",IFERROR(INDEX(Items!$C$5:$C$304,MATCH(D235,Items!$A$5:$A$304,0))&amp;"",""))</f>
        <v/>
      </c>
      <c r="K235" s="35" t="n">
        <f aca="false">IF(A235="",0,IF(ISNUMBER(F235),F235,IFERROR(INDEX(Items!$D$5:$D$304,MATCH(D235,Items!$A$5:$A$304,0)),0)))</f>
        <v>0</v>
      </c>
      <c r="L235" s="35" t="n">
        <f aca="false">ROUND(N(E235)*K235*(1-N(G235)),2)</f>
        <v>0</v>
      </c>
      <c r="M235" s="36" t="n">
        <f aca="false">IF(A235="",0,IFERROR(INDEX(Items!$E$5:$E$304,MATCH(D235,Items!$A$5:$A$304,0)),0))</f>
        <v>0</v>
      </c>
      <c r="N235" s="37" t="str">
        <f aca="false">IF(A235="","",IFERROR(INDEX(Customers!$E$5:$E$204,MATCH(C235,Customers!$A$5:$A$204,0)),"?"))</f>
        <v/>
      </c>
      <c r="O235" s="38" t="str">
        <f aca="false">IF(A235="","",IF(N235=Settings!$B$17,"No","Yes"))</f>
        <v/>
      </c>
      <c r="P235" s="35" t="n">
        <f aca="false">IF(O235="Yes",ROUND(L235*M235,2),0)</f>
        <v>0</v>
      </c>
      <c r="Q235" s="35" t="n">
        <f aca="false">IF(O235="No",ROUND(L235*M235/2,2),0)</f>
        <v>0</v>
      </c>
      <c r="R235" s="35" t="n">
        <f aca="false">Q235</f>
        <v>0</v>
      </c>
      <c r="S235" s="35" t="n">
        <f aca="false">L235+P235+Q235+R235</f>
        <v>0</v>
      </c>
      <c r="T235" s="34" t="str">
        <f aca="false">IF(A235="","",IFERROR(INDEX(Customers!$B$5:$B$204,MATCH(C235,Customers!$A$5:$A$204,0))&amp;"",""))</f>
        <v/>
      </c>
      <c r="U235" s="38" t="str">
        <f aca="false">IF(A235="","",IF(T235&lt;&gt;"","B2B",IF(AND(O235="Yes",SUMIF($A$5:$A$1004,A235,$L$5:$L$1004)+SUMIF($A$5:$A$1004,A235,$P$5:$P$1004)&gt;100000),"B2CL","B2CS")))</f>
        <v/>
      </c>
      <c r="V235" s="17" t="str">
        <f aca="false">IF(A235="","",TEXT(B235,"mmm-yyyy"))</f>
        <v/>
      </c>
    </row>
    <row r="236" customFormat="false" ht="15" hidden="false" customHeight="true" outlineLevel="0" collapsed="false">
      <c r="A236" s="24"/>
      <c r="B236" s="39"/>
      <c r="C236" s="24"/>
      <c r="D236" s="24"/>
      <c r="E236" s="40"/>
      <c r="F236" s="29"/>
      <c r="G236" s="30"/>
      <c r="H236" s="17" t="str">
        <f aca="false">IF(A236="","",A236&amp;"|"&amp;COUNTIF(A$5:A236,A236))</f>
        <v/>
      </c>
      <c r="I236" s="33" t="str">
        <f aca="false">IF(A236="","",IFERROR(INDEX(Items!$B$5:$B$304,MATCH(D236,Items!$A$5:$A$304,0))&amp;"",""))</f>
        <v/>
      </c>
      <c r="J236" s="34" t="str">
        <f aca="false">IF(A236="","",IFERROR(INDEX(Items!$C$5:$C$304,MATCH(D236,Items!$A$5:$A$304,0))&amp;"",""))</f>
        <v/>
      </c>
      <c r="K236" s="35" t="n">
        <f aca="false">IF(A236="",0,IF(ISNUMBER(F236),F236,IFERROR(INDEX(Items!$D$5:$D$304,MATCH(D236,Items!$A$5:$A$304,0)),0)))</f>
        <v>0</v>
      </c>
      <c r="L236" s="35" t="n">
        <f aca="false">ROUND(N(E236)*K236*(1-N(G236)),2)</f>
        <v>0</v>
      </c>
      <c r="M236" s="36" t="n">
        <f aca="false">IF(A236="",0,IFERROR(INDEX(Items!$E$5:$E$304,MATCH(D236,Items!$A$5:$A$304,0)),0))</f>
        <v>0</v>
      </c>
      <c r="N236" s="37" t="str">
        <f aca="false">IF(A236="","",IFERROR(INDEX(Customers!$E$5:$E$204,MATCH(C236,Customers!$A$5:$A$204,0)),"?"))</f>
        <v/>
      </c>
      <c r="O236" s="38" t="str">
        <f aca="false">IF(A236="","",IF(N236=Settings!$B$17,"No","Yes"))</f>
        <v/>
      </c>
      <c r="P236" s="35" t="n">
        <f aca="false">IF(O236="Yes",ROUND(L236*M236,2),0)</f>
        <v>0</v>
      </c>
      <c r="Q236" s="35" t="n">
        <f aca="false">IF(O236="No",ROUND(L236*M236/2,2),0)</f>
        <v>0</v>
      </c>
      <c r="R236" s="35" t="n">
        <f aca="false">Q236</f>
        <v>0</v>
      </c>
      <c r="S236" s="35" t="n">
        <f aca="false">L236+P236+Q236+R236</f>
        <v>0</v>
      </c>
      <c r="T236" s="34" t="str">
        <f aca="false">IF(A236="","",IFERROR(INDEX(Customers!$B$5:$B$204,MATCH(C236,Customers!$A$5:$A$204,0))&amp;"",""))</f>
        <v/>
      </c>
      <c r="U236" s="38" t="str">
        <f aca="false">IF(A236="","",IF(T236&lt;&gt;"","B2B",IF(AND(O236="Yes",SUMIF($A$5:$A$1004,A236,$L$5:$L$1004)+SUMIF($A$5:$A$1004,A236,$P$5:$P$1004)&gt;100000),"B2CL","B2CS")))</f>
        <v/>
      </c>
      <c r="V236" s="17" t="str">
        <f aca="false">IF(A236="","",TEXT(B236,"mmm-yyyy"))</f>
        <v/>
      </c>
    </row>
    <row r="237" customFormat="false" ht="15" hidden="false" customHeight="true" outlineLevel="0" collapsed="false">
      <c r="A237" s="24"/>
      <c r="B237" s="39"/>
      <c r="C237" s="24"/>
      <c r="D237" s="24"/>
      <c r="E237" s="40"/>
      <c r="F237" s="29"/>
      <c r="G237" s="30"/>
      <c r="H237" s="17" t="str">
        <f aca="false">IF(A237="","",A237&amp;"|"&amp;COUNTIF(A$5:A237,A237))</f>
        <v/>
      </c>
      <c r="I237" s="33" t="str">
        <f aca="false">IF(A237="","",IFERROR(INDEX(Items!$B$5:$B$304,MATCH(D237,Items!$A$5:$A$304,0))&amp;"",""))</f>
        <v/>
      </c>
      <c r="J237" s="34" t="str">
        <f aca="false">IF(A237="","",IFERROR(INDEX(Items!$C$5:$C$304,MATCH(D237,Items!$A$5:$A$304,0))&amp;"",""))</f>
        <v/>
      </c>
      <c r="K237" s="35" t="n">
        <f aca="false">IF(A237="",0,IF(ISNUMBER(F237),F237,IFERROR(INDEX(Items!$D$5:$D$304,MATCH(D237,Items!$A$5:$A$304,0)),0)))</f>
        <v>0</v>
      </c>
      <c r="L237" s="35" t="n">
        <f aca="false">ROUND(N(E237)*K237*(1-N(G237)),2)</f>
        <v>0</v>
      </c>
      <c r="M237" s="36" t="n">
        <f aca="false">IF(A237="",0,IFERROR(INDEX(Items!$E$5:$E$304,MATCH(D237,Items!$A$5:$A$304,0)),0))</f>
        <v>0</v>
      </c>
      <c r="N237" s="37" t="str">
        <f aca="false">IF(A237="","",IFERROR(INDEX(Customers!$E$5:$E$204,MATCH(C237,Customers!$A$5:$A$204,0)),"?"))</f>
        <v/>
      </c>
      <c r="O237" s="38" t="str">
        <f aca="false">IF(A237="","",IF(N237=Settings!$B$17,"No","Yes"))</f>
        <v/>
      </c>
      <c r="P237" s="35" t="n">
        <f aca="false">IF(O237="Yes",ROUND(L237*M237,2),0)</f>
        <v>0</v>
      </c>
      <c r="Q237" s="35" t="n">
        <f aca="false">IF(O237="No",ROUND(L237*M237/2,2),0)</f>
        <v>0</v>
      </c>
      <c r="R237" s="35" t="n">
        <f aca="false">Q237</f>
        <v>0</v>
      </c>
      <c r="S237" s="35" t="n">
        <f aca="false">L237+P237+Q237+R237</f>
        <v>0</v>
      </c>
      <c r="T237" s="34" t="str">
        <f aca="false">IF(A237="","",IFERROR(INDEX(Customers!$B$5:$B$204,MATCH(C237,Customers!$A$5:$A$204,0))&amp;"",""))</f>
        <v/>
      </c>
      <c r="U237" s="38" t="str">
        <f aca="false">IF(A237="","",IF(T237&lt;&gt;"","B2B",IF(AND(O237="Yes",SUMIF($A$5:$A$1004,A237,$L$5:$L$1004)+SUMIF($A$5:$A$1004,A237,$P$5:$P$1004)&gt;100000),"B2CL","B2CS")))</f>
        <v/>
      </c>
      <c r="V237" s="17" t="str">
        <f aca="false">IF(A237="","",TEXT(B237,"mmm-yyyy"))</f>
        <v/>
      </c>
    </row>
    <row r="238" customFormat="false" ht="15" hidden="false" customHeight="true" outlineLevel="0" collapsed="false">
      <c r="A238" s="24"/>
      <c r="B238" s="39"/>
      <c r="C238" s="24"/>
      <c r="D238" s="24"/>
      <c r="E238" s="40"/>
      <c r="F238" s="29"/>
      <c r="G238" s="30"/>
      <c r="H238" s="17" t="str">
        <f aca="false">IF(A238="","",A238&amp;"|"&amp;COUNTIF(A$5:A238,A238))</f>
        <v/>
      </c>
      <c r="I238" s="33" t="str">
        <f aca="false">IF(A238="","",IFERROR(INDEX(Items!$B$5:$B$304,MATCH(D238,Items!$A$5:$A$304,0))&amp;"",""))</f>
        <v/>
      </c>
      <c r="J238" s="34" t="str">
        <f aca="false">IF(A238="","",IFERROR(INDEX(Items!$C$5:$C$304,MATCH(D238,Items!$A$5:$A$304,0))&amp;"",""))</f>
        <v/>
      </c>
      <c r="K238" s="35" t="n">
        <f aca="false">IF(A238="",0,IF(ISNUMBER(F238),F238,IFERROR(INDEX(Items!$D$5:$D$304,MATCH(D238,Items!$A$5:$A$304,0)),0)))</f>
        <v>0</v>
      </c>
      <c r="L238" s="35" t="n">
        <f aca="false">ROUND(N(E238)*K238*(1-N(G238)),2)</f>
        <v>0</v>
      </c>
      <c r="M238" s="36" t="n">
        <f aca="false">IF(A238="",0,IFERROR(INDEX(Items!$E$5:$E$304,MATCH(D238,Items!$A$5:$A$304,0)),0))</f>
        <v>0</v>
      </c>
      <c r="N238" s="37" t="str">
        <f aca="false">IF(A238="","",IFERROR(INDEX(Customers!$E$5:$E$204,MATCH(C238,Customers!$A$5:$A$204,0)),"?"))</f>
        <v/>
      </c>
      <c r="O238" s="38" t="str">
        <f aca="false">IF(A238="","",IF(N238=Settings!$B$17,"No","Yes"))</f>
        <v/>
      </c>
      <c r="P238" s="35" t="n">
        <f aca="false">IF(O238="Yes",ROUND(L238*M238,2),0)</f>
        <v>0</v>
      </c>
      <c r="Q238" s="35" t="n">
        <f aca="false">IF(O238="No",ROUND(L238*M238/2,2),0)</f>
        <v>0</v>
      </c>
      <c r="R238" s="35" t="n">
        <f aca="false">Q238</f>
        <v>0</v>
      </c>
      <c r="S238" s="35" t="n">
        <f aca="false">L238+P238+Q238+R238</f>
        <v>0</v>
      </c>
      <c r="T238" s="34" t="str">
        <f aca="false">IF(A238="","",IFERROR(INDEX(Customers!$B$5:$B$204,MATCH(C238,Customers!$A$5:$A$204,0))&amp;"",""))</f>
        <v/>
      </c>
      <c r="U238" s="38" t="str">
        <f aca="false">IF(A238="","",IF(T238&lt;&gt;"","B2B",IF(AND(O238="Yes",SUMIF($A$5:$A$1004,A238,$L$5:$L$1004)+SUMIF($A$5:$A$1004,A238,$P$5:$P$1004)&gt;100000),"B2CL","B2CS")))</f>
        <v/>
      </c>
      <c r="V238" s="17" t="str">
        <f aca="false">IF(A238="","",TEXT(B238,"mmm-yyyy"))</f>
        <v/>
      </c>
    </row>
    <row r="239" customFormat="false" ht="15" hidden="false" customHeight="true" outlineLevel="0" collapsed="false">
      <c r="A239" s="24"/>
      <c r="B239" s="39"/>
      <c r="C239" s="24"/>
      <c r="D239" s="24"/>
      <c r="E239" s="40"/>
      <c r="F239" s="29"/>
      <c r="G239" s="30"/>
      <c r="H239" s="17" t="str">
        <f aca="false">IF(A239="","",A239&amp;"|"&amp;COUNTIF(A$5:A239,A239))</f>
        <v/>
      </c>
      <c r="I239" s="33" t="str">
        <f aca="false">IF(A239="","",IFERROR(INDEX(Items!$B$5:$B$304,MATCH(D239,Items!$A$5:$A$304,0))&amp;"",""))</f>
        <v/>
      </c>
      <c r="J239" s="34" t="str">
        <f aca="false">IF(A239="","",IFERROR(INDEX(Items!$C$5:$C$304,MATCH(D239,Items!$A$5:$A$304,0))&amp;"",""))</f>
        <v/>
      </c>
      <c r="K239" s="35" t="n">
        <f aca="false">IF(A239="",0,IF(ISNUMBER(F239),F239,IFERROR(INDEX(Items!$D$5:$D$304,MATCH(D239,Items!$A$5:$A$304,0)),0)))</f>
        <v>0</v>
      </c>
      <c r="L239" s="35" t="n">
        <f aca="false">ROUND(N(E239)*K239*(1-N(G239)),2)</f>
        <v>0</v>
      </c>
      <c r="M239" s="36" t="n">
        <f aca="false">IF(A239="",0,IFERROR(INDEX(Items!$E$5:$E$304,MATCH(D239,Items!$A$5:$A$304,0)),0))</f>
        <v>0</v>
      </c>
      <c r="N239" s="37" t="str">
        <f aca="false">IF(A239="","",IFERROR(INDEX(Customers!$E$5:$E$204,MATCH(C239,Customers!$A$5:$A$204,0)),"?"))</f>
        <v/>
      </c>
      <c r="O239" s="38" t="str">
        <f aca="false">IF(A239="","",IF(N239=Settings!$B$17,"No","Yes"))</f>
        <v/>
      </c>
      <c r="P239" s="35" t="n">
        <f aca="false">IF(O239="Yes",ROUND(L239*M239,2),0)</f>
        <v>0</v>
      </c>
      <c r="Q239" s="35" t="n">
        <f aca="false">IF(O239="No",ROUND(L239*M239/2,2),0)</f>
        <v>0</v>
      </c>
      <c r="R239" s="35" t="n">
        <f aca="false">Q239</f>
        <v>0</v>
      </c>
      <c r="S239" s="35" t="n">
        <f aca="false">L239+P239+Q239+R239</f>
        <v>0</v>
      </c>
      <c r="T239" s="34" t="str">
        <f aca="false">IF(A239="","",IFERROR(INDEX(Customers!$B$5:$B$204,MATCH(C239,Customers!$A$5:$A$204,0))&amp;"",""))</f>
        <v/>
      </c>
      <c r="U239" s="38" t="str">
        <f aca="false">IF(A239="","",IF(T239&lt;&gt;"","B2B",IF(AND(O239="Yes",SUMIF($A$5:$A$1004,A239,$L$5:$L$1004)+SUMIF($A$5:$A$1004,A239,$P$5:$P$1004)&gt;100000),"B2CL","B2CS")))</f>
        <v/>
      </c>
      <c r="V239" s="17" t="str">
        <f aca="false">IF(A239="","",TEXT(B239,"mmm-yyyy"))</f>
        <v/>
      </c>
    </row>
    <row r="240" customFormat="false" ht="15" hidden="false" customHeight="true" outlineLevel="0" collapsed="false">
      <c r="A240" s="24"/>
      <c r="B240" s="39"/>
      <c r="C240" s="24"/>
      <c r="D240" s="24"/>
      <c r="E240" s="40"/>
      <c r="F240" s="29"/>
      <c r="G240" s="30"/>
      <c r="H240" s="17" t="str">
        <f aca="false">IF(A240="","",A240&amp;"|"&amp;COUNTIF(A$5:A240,A240))</f>
        <v/>
      </c>
      <c r="I240" s="33" t="str">
        <f aca="false">IF(A240="","",IFERROR(INDEX(Items!$B$5:$B$304,MATCH(D240,Items!$A$5:$A$304,0))&amp;"",""))</f>
        <v/>
      </c>
      <c r="J240" s="34" t="str">
        <f aca="false">IF(A240="","",IFERROR(INDEX(Items!$C$5:$C$304,MATCH(D240,Items!$A$5:$A$304,0))&amp;"",""))</f>
        <v/>
      </c>
      <c r="K240" s="35" t="n">
        <f aca="false">IF(A240="",0,IF(ISNUMBER(F240),F240,IFERROR(INDEX(Items!$D$5:$D$304,MATCH(D240,Items!$A$5:$A$304,0)),0)))</f>
        <v>0</v>
      </c>
      <c r="L240" s="35" t="n">
        <f aca="false">ROUND(N(E240)*K240*(1-N(G240)),2)</f>
        <v>0</v>
      </c>
      <c r="M240" s="36" t="n">
        <f aca="false">IF(A240="",0,IFERROR(INDEX(Items!$E$5:$E$304,MATCH(D240,Items!$A$5:$A$304,0)),0))</f>
        <v>0</v>
      </c>
      <c r="N240" s="37" t="str">
        <f aca="false">IF(A240="","",IFERROR(INDEX(Customers!$E$5:$E$204,MATCH(C240,Customers!$A$5:$A$204,0)),"?"))</f>
        <v/>
      </c>
      <c r="O240" s="38" t="str">
        <f aca="false">IF(A240="","",IF(N240=Settings!$B$17,"No","Yes"))</f>
        <v/>
      </c>
      <c r="P240" s="35" t="n">
        <f aca="false">IF(O240="Yes",ROUND(L240*M240,2),0)</f>
        <v>0</v>
      </c>
      <c r="Q240" s="35" t="n">
        <f aca="false">IF(O240="No",ROUND(L240*M240/2,2),0)</f>
        <v>0</v>
      </c>
      <c r="R240" s="35" t="n">
        <f aca="false">Q240</f>
        <v>0</v>
      </c>
      <c r="S240" s="35" t="n">
        <f aca="false">L240+P240+Q240+R240</f>
        <v>0</v>
      </c>
      <c r="T240" s="34" t="str">
        <f aca="false">IF(A240="","",IFERROR(INDEX(Customers!$B$5:$B$204,MATCH(C240,Customers!$A$5:$A$204,0))&amp;"",""))</f>
        <v/>
      </c>
      <c r="U240" s="38" t="str">
        <f aca="false">IF(A240="","",IF(T240&lt;&gt;"","B2B",IF(AND(O240="Yes",SUMIF($A$5:$A$1004,A240,$L$5:$L$1004)+SUMIF($A$5:$A$1004,A240,$P$5:$P$1004)&gt;100000),"B2CL","B2CS")))</f>
        <v/>
      </c>
      <c r="V240" s="17" t="str">
        <f aca="false">IF(A240="","",TEXT(B240,"mmm-yyyy"))</f>
        <v/>
      </c>
    </row>
    <row r="241" customFormat="false" ht="15" hidden="false" customHeight="true" outlineLevel="0" collapsed="false">
      <c r="A241" s="24"/>
      <c r="B241" s="39"/>
      <c r="C241" s="24"/>
      <c r="D241" s="24"/>
      <c r="E241" s="40"/>
      <c r="F241" s="29"/>
      <c r="G241" s="30"/>
      <c r="H241" s="17" t="str">
        <f aca="false">IF(A241="","",A241&amp;"|"&amp;COUNTIF(A$5:A241,A241))</f>
        <v/>
      </c>
      <c r="I241" s="33" t="str">
        <f aca="false">IF(A241="","",IFERROR(INDEX(Items!$B$5:$B$304,MATCH(D241,Items!$A$5:$A$304,0))&amp;"",""))</f>
        <v/>
      </c>
      <c r="J241" s="34" t="str">
        <f aca="false">IF(A241="","",IFERROR(INDEX(Items!$C$5:$C$304,MATCH(D241,Items!$A$5:$A$304,0))&amp;"",""))</f>
        <v/>
      </c>
      <c r="K241" s="35" t="n">
        <f aca="false">IF(A241="",0,IF(ISNUMBER(F241),F241,IFERROR(INDEX(Items!$D$5:$D$304,MATCH(D241,Items!$A$5:$A$304,0)),0)))</f>
        <v>0</v>
      </c>
      <c r="L241" s="35" t="n">
        <f aca="false">ROUND(N(E241)*K241*(1-N(G241)),2)</f>
        <v>0</v>
      </c>
      <c r="M241" s="36" t="n">
        <f aca="false">IF(A241="",0,IFERROR(INDEX(Items!$E$5:$E$304,MATCH(D241,Items!$A$5:$A$304,0)),0))</f>
        <v>0</v>
      </c>
      <c r="N241" s="37" t="str">
        <f aca="false">IF(A241="","",IFERROR(INDEX(Customers!$E$5:$E$204,MATCH(C241,Customers!$A$5:$A$204,0)),"?"))</f>
        <v/>
      </c>
      <c r="O241" s="38" t="str">
        <f aca="false">IF(A241="","",IF(N241=Settings!$B$17,"No","Yes"))</f>
        <v/>
      </c>
      <c r="P241" s="35" t="n">
        <f aca="false">IF(O241="Yes",ROUND(L241*M241,2),0)</f>
        <v>0</v>
      </c>
      <c r="Q241" s="35" t="n">
        <f aca="false">IF(O241="No",ROUND(L241*M241/2,2),0)</f>
        <v>0</v>
      </c>
      <c r="R241" s="35" t="n">
        <f aca="false">Q241</f>
        <v>0</v>
      </c>
      <c r="S241" s="35" t="n">
        <f aca="false">L241+P241+Q241+R241</f>
        <v>0</v>
      </c>
      <c r="T241" s="34" t="str">
        <f aca="false">IF(A241="","",IFERROR(INDEX(Customers!$B$5:$B$204,MATCH(C241,Customers!$A$5:$A$204,0))&amp;"",""))</f>
        <v/>
      </c>
      <c r="U241" s="38" t="str">
        <f aca="false">IF(A241="","",IF(T241&lt;&gt;"","B2B",IF(AND(O241="Yes",SUMIF($A$5:$A$1004,A241,$L$5:$L$1004)+SUMIF($A$5:$A$1004,A241,$P$5:$P$1004)&gt;100000),"B2CL","B2CS")))</f>
        <v/>
      </c>
      <c r="V241" s="17" t="str">
        <f aca="false">IF(A241="","",TEXT(B241,"mmm-yyyy"))</f>
        <v/>
      </c>
    </row>
    <row r="242" customFormat="false" ht="15" hidden="false" customHeight="true" outlineLevel="0" collapsed="false">
      <c r="A242" s="24"/>
      <c r="B242" s="39"/>
      <c r="C242" s="24"/>
      <c r="D242" s="24"/>
      <c r="E242" s="40"/>
      <c r="F242" s="29"/>
      <c r="G242" s="30"/>
      <c r="H242" s="17" t="str">
        <f aca="false">IF(A242="","",A242&amp;"|"&amp;COUNTIF(A$5:A242,A242))</f>
        <v/>
      </c>
      <c r="I242" s="33" t="str">
        <f aca="false">IF(A242="","",IFERROR(INDEX(Items!$B$5:$B$304,MATCH(D242,Items!$A$5:$A$304,0))&amp;"",""))</f>
        <v/>
      </c>
      <c r="J242" s="34" t="str">
        <f aca="false">IF(A242="","",IFERROR(INDEX(Items!$C$5:$C$304,MATCH(D242,Items!$A$5:$A$304,0))&amp;"",""))</f>
        <v/>
      </c>
      <c r="K242" s="35" t="n">
        <f aca="false">IF(A242="",0,IF(ISNUMBER(F242),F242,IFERROR(INDEX(Items!$D$5:$D$304,MATCH(D242,Items!$A$5:$A$304,0)),0)))</f>
        <v>0</v>
      </c>
      <c r="L242" s="35" t="n">
        <f aca="false">ROUND(N(E242)*K242*(1-N(G242)),2)</f>
        <v>0</v>
      </c>
      <c r="M242" s="36" t="n">
        <f aca="false">IF(A242="",0,IFERROR(INDEX(Items!$E$5:$E$304,MATCH(D242,Items!$A$5:$A$304,0)),0))</f>
        <v>0</v>
      </c>
      <c r="N242" s="37" t="str">
        <f aca="false">IF(A242="","",IFERROR(INDEX(Customers!$E$5:$E$204,MATCH(C242,Customers!$A$5:$A$204,0)),"?"))</f>
        <v/>
      </c>
      <c r="O242" s="38" t="str">
        <f aca="false">IF(A242="","",IF(N242=Settings!$B$17,"No","Yes"))</f>
        <v/>
      </c>
      <c r="P242" s="35" t="n">
        <f aca="false">IF(O242="Yes",ROUND(L242*M242,2),0)</f>
        <v>0</v>
      </c>
      <c r="Q242" s="35" t="n">
        <f aca="false">IF(O242="No",ROUND(L242*M242/2,2),0)</f>
        <v>0</v>
      </c>
      <c r="R242" s="35" t="n">
        <f aca="false">Q242</f>
        <v>0</v>
      </c>
      <c r="S242" s="35" t="n">
        <f aca="false">L242+P242+Q242+R242</f>
        <v>0</v>
      </c>
      <c r="T242" s="34" t="str">
        <f aca="false">IF(A242="","",IFERROR(INDEX(Customers!$B$5:$B$204,MATCH(C242,Customers!$A$5:$A$204,0))&amp;"",""))</f>
        <v/>
      </c>
      <c r="U242" s="38" t="str">
        <f aca="false">IF(A242="","",IF(T242&lt;&gt;"","B2B",IF(AND(O242="Yes",SUMIF($A$5:$A$1004,A242,$L$5:$L$1004)+SUMIF($A$5:$A$1004,A242,$P$5:$P$1004)&gt;100000),"B2CL","B2CS")))</f>
        <v/>
      </c>
      <c r="V242" s="17" t="str">
        <f aca="false">IF(A242="","",TEXT(B242,"mmm-yyyy"))</f>
        <v/>
      </c>
    </row>
    <row r="243" customFormat="false" ht="15" hidden="false" customHeight="true" outlineLevel="0" collapsed="false">
      <c r="A243" s="24"/>
      <c r="B243" s="39"/>
      <c r="C243" s="24"/>
      <c r="D243" s="24"/>
      <c r="E243" s="40"/>
      <c r="F243" s="29"/>
      <c r="G243" s="30"/>
      <c r="H243" s="17" t="str">
        <f aca="false">IF(A243="","",A243&amp;"|"&amp;COUNTIF(A$5:A243,A243))</f>
        <v/>
      </c>
      <c r="I243" s="33" t="str">
        <f aca="false">IF(A243="","",IFERROR(INDEX(Items!$B$5:$B$304,MATCH(D243,Items!$A$5:$A$304,0))&amp;"",""))</f>
        <v/>
      </c>
      <c r="J243" s="34" t="str">
        <f aca="false">IF(A243="","",IFERROR(INDEX(Items!$C$5:$C$304,MATCH(D243,Items!$A$5:$A$304,0))&amp;"",""))</f>
        <v/>
      </c>
      <c r="K243" s="35" t="n">
        <f aca="false">IF(A243="",0,IF(ISNUMBER(F243),F243,IFERROR(INDEX(Items!$D$5:$D$304,MATCH(D243,Items!$A$5:$A$304,0)),0)))</f>
        <v>0</v>
      </c>
      <c r="L243" s="35" t="n">
        <f aca="false">ROUND(N(E243)*K243*(1-N(G243)),2)</f>
        <v>0</v>
      </c>
      <c r="M243" s="36" t="n">
        <f aca="false">IF(A243="",0,IFERROR(INDEX(Items!$E$5:$E$304,MATCH(D243,Items!$A$5:$A$304,0)),0))</f>
        <v>0</v>
      </c>
      <c r="N243" s="37" t="str">
        <f aca="false">IF(A243="","",IFERROR(INDEX(Customers!$E$5:$E$204,MATCH(C243,Customers!$A$5:$A$204,0)),"?"))</f>
        <v/>
      </c>
      <c r="O243" s="38" t="str">
        <f aca="false">IF(A243="","",IF(N243=Settings!$B$17,"No","Yes"))</f>
        <v/>
      </c>
      <c r="P243" s="35" t="n">
        <f aca="false">IF(O243="Yes",ROUND(L243*M243,2),0)</f>
        <v>0</v>
      </c>
      <c r="Q243" s="35" t="n">
        <f aca="false">IF(O243="No",ROUND(L243*M243/2,2),0)</f>
        <v>0</v>
      </c>
      <c r="R243" s="35" t="n">
        <f aca="false">Q243</f>
        <v>0</v>
      </c>
      <c r="S243" s="35" t="n">
        <f aca="false">L243+P243+Q243+R243</f>
        <v>0</v>
      </c>
      <c r="T243" s="34" t="str">
        <f aca="false">IF(A243="","",IFERROR(INDEX(Customers!$B$5:$B$204,MATCH(C243,Customers!$A$5:$A$204,0))&amp;"",""))</f>
        <v/>
      </c>
      <c r="U243" s="38" t="str">
        <f aca="false">IF(A243="","",IF(T243&lt;&gt;"","B2B",IF(AND(O243="Yes",SUMIF($A$5:$A$1004,A243,$L$5:$L$1004)+SUMIF($A$5:$A$1004,A243,$P$5:$P$1004)&gt;100000),"B2CL","B2CS")))</f>
        <v/>
      </c>
      <c r="V243" s="17" t="str">
        <f aca="false">IF(A243="","",TEXT(B243,"mmm-yyyy"))</f>
        <v/>
      </c>
    </row>
    <row r="244" customFormat="false" ht="15" hidden="false" customHeight="true" outlineLevel="0" collapsed="false">
      <c r="A244" s="24"/>
      <c r="B244" s="39"/>
      <c r="C244" s="24"/>
      <c r="D244" s="24"/>
      <c r="E244" s="40"/>
      <c r="F244" s="29"/>
      <c r="G244" s="30"/>
      <c r="H244" s="17" t="str">
        <f aca="false">IF(A244="","",A244&amp;"|"&amp;COUNTIF(A$5:A244,A244))</f>
        <v/>
      </c>
      <c r="I244" s="33" t="str">
        <f aca="false">IF(A244="","",IFERROR(INDEX(Items!$B$5:$B$304,MATCH(D244,Items!$A$5:$A$304,0))&amp;"",""))</f>
        <v/>
      </c>
      <c r="J244" s="34" t="str">
        <f aca="false">IF(A244="","",IFERROR(INDEX(Items!$C$5:$C$304,MATCH(D244,Items!$A$5:$A$304,0))&amp;"",""))</f>
        <v/>
      </c>
      <c r="K244" s="35" t="n">
        <f aca="false">IF(A244="",0,IF(ISNUMBER(F244),F244,IFERROR(INDEX(Items!$D$5:$D$304,MATCH(D244,Items!$A$5:$A$304,0)),0)))</f>
        <v>0</v>
      </c>
      <c r="L244" s="35" t="n">
        <f aca="false">ROUND(N(E244)*K244*(1-N(G244)),2)</f>
        <v>0</v>
      </c>
      <c r="M244" s="36" t="n">
        <f aca="false">IF(A244="",0,IFERROR(INDEX(Items!$E$5:$E$304,MATCH(D244,Items!$A$5:$A$304,0)),0))</f>
        <v>0</v>
      </c>
      <c r="N244" s="37" t="str">
        <f aca="false">IF(A244="","",IFERROR(INDEX(Customers!$E$5:$E$204,MATCH(C244,Customers!$A$5:$A$204,0)),"?"))</f>
        <v/>
      </c>
      <c r="O244" s="38" t="str">
        <f aca="false">IF(A244="","",IF(N244=Settings!$B$17,"No","Yes"))</f>
        <v/>
      </c>
      <c r="P244" s="35" t="n">
        <f aca="false">IF(O244="Yes",ROUND(L244*M244,2),0)</f>
        <v>0</v>
      </c>
      <c r="Q244" s="35" t="n">
        <f aca="false">IF(O244="No",ROUND(L244*M244/2,2),0)</f>
        <v>0</v>
      </c>
      <c r="R244" s="35" t="n">
        <f aca="false">Q244</f>
        <v>0</v>
      </c>
      <c r="S244" s="35" t="n">
        <f aca="false">L244+P244+Q244+R244</f>
        <v>0</v>
      </c>
      <c r="T244" s="34" t="str">
        <f aca="false">IF(A244="","",IFERROR(INDEX(Customers!$B$5:$B$204,MATCH(C244,Customers!$A$5:$A$204,0))&amp;"",""))</f>
        <v/>
      </c>
      <c r="U244" s="38" t="str">
        <f aca="false">IF(A244="","",IF(T244&lt;&gt;"","B2B",IF(AND(O244="Yes",SUMIF($A$5:$A$1004,A244,$L$5:$L$1004)+SUMIF($A$5:$A$1004,A244,$P$5:$P$1004)&gt;100000),"B2CL","B2CS")))</f>
        <v/>
      </c>
      <c r="V244" s="17" t="str">
        <f aca="false">IF(A244="","",TEXT(B244,"mmm-yyyy"))</f>
        <v/>
      </c>
    </row>
    <row r="245" customFormat="false" ht="15" hidden="false" customHeight="true" outlineLevel="0" collapsed="false">
      <c r="A245" s="24"/>
      <c r="B245" s="39"/>
      <c r="C245" s="24"/>
      <c r="D245" s="24"/>
      <c r="E245" s="40"/>
      <c r="F245" s="29"/>
      <c r="G245" s="30"/>
      <c r="H245" s="17" t="str">
        <f aca="false">IF(A245="","",A245&amp;"|"&amp;COUNTIF(A$5:A245,A245))</f>
        <v/>
      </c>
      <c r="I245" s="33" t="str">
        <f aca="false">IF(A245="","",IFERROR(INDEX(Items!$B$5:$B$304,MATCH(D245,Items!$A$5:$A$304,0))&amp;"",""))</f>
        <v/>
      </c>
      <c r="J245" s="34" t="str">
        <f aca="false">IF(A245="","",IFERROR(INDEX(Items!$C$5:$C$304,MATCH(D245,Items!$A$5:$A$304,0))&amp;"",""))</f>
        <v/>
      </c>
      <c r="K245" s="35" t="n">
        <f aca="false">IF(A245="",0,IF(ISNUMBER(F245),F245,IFERROR(INDEX(Items!$D$5:$D$304,MATCH(D245,Items!$A$5:$A$304,0)),0)))</f>
        <v>0</v>
      </c>
      <c r="L245" s="35" t="n">
        <f aca="false">ROUND(N(E245)*K245*(1-N(G245)),2)</f>
        <v>0</v>
      </c>
      <c r="M245" s="36" t="n">
        <f aca="false">IF(A245="",0,IFERROR(INDEX(Items!$E$5:$E$304,MATCH(D245,Items!$A$5:$A$304,0)),0))</f>
        <v>0</v>
      </c>
      <c r="N245" s="37" t="str">
        <f aca="false">IF(A245="","",IFERROR(INDEX(Customers!$E$5:$E$204,MATCH(C245,Customers!$A$5:$A$204,0)),"?"))</f>
        <v/>
      </c>
      <c r="O245" s="38" t="str">
        <f aca="false">IF(A245="","",IF(N245=Settings!$B$17,"No","Yes"))</f>
        <v/>
      </c>
      <c r="P245" s="35" t="n">
        <f aca="false">IF(O245="Yes",ROUND(L245*M245,2),0)</f>
        <v>0</v>
      </c>
      <c r="Q245" s="35" t="n">
        <f aca="false">IF(O245="No",ROUND(L245*M245/2,2),0)</f>
        <v>0</v>
      </c>
      <c r="R245" s="35" t="n">
        <f aca="false">Q245</f>
        <v>0</v>
      </c>
      <c r="S245" s="35" t="n">
        <f aca="false">L245+P245+Q245+R245</f>
        <v>0</v>
      </c>
      <c r="T245" s="34" t="str">
        <f aca="false">IF(A245="","",IFERROR(INDEX(Customers!$B$5:$B$204,MATCH(C245,Customers!$A$5:$A$204,0))&amp;"",""))</f>
        <v/>
      </c>
      <c r="U245" s="38" t="str">
        <f aca="false">IF(A245="","",IF(T245&lt;&gt;"","B2B",IF(AND(O245="Yes",SUMIF($A$5:$A$1004,A245,$L$5:$L$1004)+SUMIF($A$5:$A$1004,A245,$P$5:$P$1004)&gt;100000),"B2CL","B2CS")))</f>
        <v/>
      </c>
      <c r="V245" s="17" t="str">
        <f aca="false">IF(A245="","",TEXT(B245,"mmm-yyyy"))</f>
        <v/>
      </c>
    </row>
    <row r="246" customFormat="false" ht="15" hidden="false" customHeight="true" outlineLevel="0" collapsed="false">
      <c r="A246" s="24"/>
      <c r="B246" s="39"/>
      <c r="C246" s="24"/>
      <c r="D246" s="24"/>
      <c r="E246" s="40"/>
      <c r="F246" s="29"/>
      <c r="G246" s="30"/>
      <c r="H246" s="17" t="str">
        <f aca="false">IF(A246="","",A246&amp;"|"&amp;COUNTIF(A$5:A246,A246))</f>
        <v/>
      </c>
      <c r="I246" s="33" t="str">
        <f aca="false">IF(A246="","",IFERROR(INDEX(Items!$B$5:$B$304,MATCH(D246,Items!$A$5:$A$304,0))&amp;"",""))</f>
        <v/>
      </c>
      <c r="J246" s="34" t="str">
        <f aca="false">IF(A246="","",IFERROR(INDEX(Items!$C$5:$C$304,MATCH(D246,Items!$A$5:$A$304,0))&amp;"",""))</f>
        <v/>
      </c>
      <c r="K246" s="35" t="n">
        <f aca="false">IF(A246="",0,IF(ISNUMBER(F246),F246,IFERROR(INDEX(Items!$D$5:$D$304,MATCH(D246,Items!$A$5:$A$304,0)),0)))</f>
        <v>0</v>
      </c>
      <c r="L246" s="35" t="n">
        <f aca="false">ROUND(N(E246)*K246*(1-N(G246)),2)</f>
        <v>0</v>
      </c>
      <c r="M246" s="36" t="n">
        <f aca="false">IF(A246="",0,IFERROR(INDEX(Items!$E$5:$E$304,MATCH(D246,Items!$A$5:$A$304,0)),0))</f>
        <v>0</v>
      </c>
      <c r="N246" s="37" t="str">
        <f aca="false">IF(A246="","",IFERROR(INDEX(Customers!$E$5:$E$204,MATCH(C246,Customers!$A$5:$A$204,0)),"?"))</f>
        <v/>
      </c>
      <c r="O246" s="38" t="str">
        <f aca="false">IF(A246="","",IF(N246=Settings!$B$17,"No","Yes"))</f>
        <v/>
      </c>
      <c r="P246" s="35" t="n">
        <f aca="false">IF(O246="Yes",ROUND(L246*M246,2),0)</f>
        <v>0</v>
      </c>
      <c r="Q246" s="35" t="n">
        <f aca="false">IF(O246="No",ROUND(L246*M246/2,2),0)</f>
        <v>0</v>
      </c>
      <c r="R246" s="35" t="n">
        <f aca="false">Q246</f>
        <v>0</v>
      </c>
      <c r="S246" s="35" t="n">
        <f aca="false">L246+P246+Q246+R246</f>
        <v>0</v>
      </c>
      <c r="T246" s="34" t="str">
        <f aca="false">IF(A246="","",IFERROR(INDEX(Customers!$B$5:$B$204,MATCH(C246,Customers!$A$5:$A$204,0))&amp;"",""))</f>
        <v/>
      </c>
      <c r="U246" s="38" t="str">
        <f aca="false">IF(A246="","",IF(T246&lt;&gt;"","B2B",IF(AND(O246="Yes",SUMIF($A$5:$A$1004,A246,$L$5:$L$1004)+SUMIF($A$5:$A$1004,A246,$P$5:$P$1004)&gt;100000),"B2CL","B2CS")))</f>
        <v/>
      </c>
      <c r="V246" s="17" t="str">
        <f aca="false">IF(A246="","",TEXT(B246,"mmm-yyyy"))</f>
        <v/>
      </c>
    </row>
    <row r="247" customFormat="false" ht="15" hidden="false" customHeight="true" outlineLevel="0" collapsed="false">
      <c r="A247" s="24"/>
      <c r="B247" s="39"/>
      <c r="C247" s="24"/>
      <c r="D247" s="24"/>
      <c r="E247" s="40"/>
      <c r="F247" s="29"/>
      <c r="G247" s="30"/>
      <c r="H247" s="17" t="str">
        <f aca="false">IF(A247="","",A247&amp;"|"&amp;COUNTIF(A$5:A247,A247))</f>
        <v/>
      </c>
      <c r="I247" s="33" t="str">
        <f aca="false">IF(A247="","",IFERROR(INDEX(Items!$B$5:$B$304,MATCH(D247,Items!$A$5:$A$304,0))&amp;"",""))</f>
        <v/>
      </c>
      <c r="J247" s="34" t="str">
        <f aca="false">IF(A247="","",IFERROR(INDEX(Items!$C$5:$C$304,MATCH(D247,Items!$A$5:$A$304,0))&amp;"",""))</f>
        <v/>
      </c>
      <c r="K247" s="35" t="n">
        <f aca="false">IF(A247="",0,IF(ISNUMBER(F247),F247,IFERROR(INDEX(Items!$D$5:$D$304,MATCH(D247,Items!$A$5:$A$304,0)),0)))</f>
        <v>0</v>
      </c>
      <c r="L247" s="35" t="n">
        <f aca="false">ROUND(N(E247)*K247*(1-N(G247)),2)</f>
        <v>0</v>
      </c>
      <c r="M247" s="36" t="n">
        <f aca="false">IF(A247="",0,IFERROR(INDEX(Items!$E$5:$E$304,MATCH(D247,Items!$A$5:$A$304,0)),0))</f>
        <v>0</v>
      </c>
      <c r="N247" s="37" t="str">
        <f aca="false">IF(A247="","",IFERROR(INDEX(Customers!$E$5:$E$204,MATCH(C247,Customers!$A$5:$A$204,0)),"?"))</f>
        <v/>
      </c>
      <c r="O247" s="38" t="str">
        <f aca="false">IF(A247="","",IF(N247=Settings!$B$17,"No","Yes"))</f>
        <v/>
      </c>
      <c r="P247" s="35" t="n">
        <f aca="false">IF(O247="Yes",ROUND(L247*M247,2),0)</f>
        <v>0</v>
      </c>
      <c r="Q247" s="35" t="n">
        <f aca="false">IF(O247="No",ROUND(L247*M247/2,2),0)</f>
        <v>0</v>
      </c>
      <c r="R247" s="35" t="n">
        <f aca="false">Q247</f>
        <v>0</v>
      </c>
      <c r="S247" s="35" t="n">
        <f aca="false">L247+P247+Q247+R247</f>
        <v>0</v>
      </c>
      <c r="T247" s="34" t="str">
        <f aca="false">IF(A247="","",IFERROR(INDEX(Customers!$B$5:$B$204,MATCH(C247,Customers!$A$5:$A$204,0))&amp;"",""))</f>
        <v/>
      </c>
      <c r="U247" s="38" t="str">
        <f aca="false">IF(A247="","",IF(T247&lt;&gt;"","B2B",IF(AND(O247="Yes",SUMIF($A$5:$A$1004,A247,$L$5:$L$1004)+SUMIF($A$5:$A$1004,A247,$P$5:$P$1004)&gt;100000),"B2CL","B2CS")))</f>
        <v/>
      </c>
      <c r="V247" s="17" t="str">
        <f aca="false">IF(A247="","",TEXT(B247,"mmm-yyyy"))</f>
        <v/>
      </c>
    </row>
    <row r="248" customFormat="false" ht="15" hidden="false" customHeight="true" outlineLevel="0" collapsed="false">
      <c r="A248" s="24"/>
      <c r="B248" s="39"/>
      <c r="C248" s="24"/>
      <c r="D248" s="24"/>
      <c r="E248" s="40"/>
      <c r="F248" s="29"/>
      <c r="G248" s="30"/>
      <c r="H248" s="17" t="str">
        <f aca="false">IF(A248="","",A248&amp;"|"&amp;COUNTIF(A$5:A248,A248))</f>
        <v/>
      </c>
      <c r="I248" s="33" t="str">
        <f aca="false">IF(A248="","",IFERROR(INDEX(Items!$B$5:$B$304,MATCH(D248,Items!$A$5:$A$304,0))&amp;"",""))</f>
        <v/>
      </c>
      <c r="J248" s="34" t="str">
        <f aca="false">IF(A248="","",IFERROR(INDEX(Items!$C$5:$C$304,MATCH(D248,Items!$A$5:$A$304,0))&amp;"",""))</f>
        <v/>
      </c>
      <c r="K248" s="35" t="n">
        <f aca="false">IF(A248="",0,IF(ISNUMBER(F248),F248,IFERROR(INDEX(Items!$D$5:$D$304,MATCH(D248,Items!$A$5:$A$304,0)),0)))</f>
        <v>0</v>
      </c>
      <c r="L248" s="35" t="n">
        <f aca="false">ROUND(N(E248)*K248*(1-N(G248)),2)</f>
        <v>0</v>
      </c>
      <c r="M248" s="36" t="n">
        <f aca="false">IF(A248="",0,IFERROR(INDEX(Items!$E$5:$E$304,MATCH(D248,Items!$A$5:$A$304,0)),0))</f>
        <v>0</v>
      </c>
      <c r="N248" s="37" t="str">
        <f aca="false">IF(A248="","",IFERROR(INDEX(Customers!$E$5:$E$204,MATCH(C248,Customers!$A$5:$A$204,0)),"?"))</f>
        <v/>
      </c>
      <c r="O248" s="38" t="str">
        <f aca="false">IF(A248="","",IF(N248=Settings!$B$17,"No","Yes"))</f>
        <v/>
      </c>
      <c r="P248" s="35" t="n">
        <f aca="false">IF(O248="Yes",ROUND(L248*M248,2),0)</f>
        <v>0</v>
      </c>
      <c r="Q248" s="35" t="n">
        <f aca="false">IF(O248="No",ROUND(L248*M248/2,2),0)</f>
        <v>0</v>
      </c>
      <c r="R248" s="35" t="n">
        <f aca="false">Q248</f>
        <v>0</v>
      </c>
      <c r="S248" s="35" t="n">
        <f aca="false">L248+P248+Q248+R248</f>
        <v>0</v>
      </c>
      <c r="T248" s="34" t="str">
        <f aca="false">IF(A248="","",IFERROR(INDEX(Customers!$B$5:$B$204,MATCH(C248,Customers!$A$5:$A$204,0))&amp;"",""))</f>
        <v/>
      </c>
      <c r="U248" s="38" t="str">
        <f aca="false">IF(A248="","",IF(T248&lt;&gt;"","B2B",IF(AND(O248="Yes",SUMIF($A$5:$A$1004,A248,$L$5:$L$1004)+SUMIF($A$5:$A$1004,A248,$P$5:$P$1004)&gt;100000),"B2CL","B2CS")))</f>
        <v/>
      </c>
      <c r="V248" s="17" t="str">
        <f aca="false">IF(A248="","",TEXT(B248,"mmm-yyyy"))</f>
        <v/>
      </c>
    </row>
    <row r="249" customFormat="false" ht="15" hidden="false" customHeight="true" outlineLevel="0" collapsed="false">
      <c r="A249" s="24"/>
      <c r="B249" s="39"/>
      <c r="C249" s="24"/>
      <c r="D249" s="24"/>
      <c r="E249" s="40"/>
      <c r="F249" s="29"/>
      <c r="G249" s="30"/>
      <c r="H249" s="17" t="str">
        <f aca="false">IF(A249="","",A249&amp;"|"&amp;COUNTIF(A$5:A249,A249))</f>
        <v/>
      </c>
      <c r="I249" s="33" t="str">
        <f aca="false">IF(A249="","",IFERROR(INDEX(Items!$B$5:$B$304,MATCH(D249,Items!$A$5:$A$304,0))&amp;"",""))</f>
        <v/>
      </c>
      <c r="J249" s="34" t="str">
        <f aca="false">IF(A249="","",IFERROR(INDEX(Items!$C$5:$C$304,MATCH(D249,Items!$A$5:$A$304,0))&amp;"",""))</f>
        <v/>
      </c>
      <c r="K249" s="35" t="n">
        <f aca="false">IF(A249="",0,IF(ISNUMBER(F249),F249,IFERROR(INDEX(Items!$D$5:$D$304,MATCH(D249,Items!$A$5:$A$304,0)),0)))</f>
        <v>0</v>
      </c>
      <c r="L249" s="35" t="n">
        <f aca="false">ROUND(N(E249)*K249*(1-N(G249)),2)</f>
        <v>0</v>
      </c>
      <c r="M249" s="36" t="n">
        <f aca="false">IF(A249="",0,IFERROR(INDEX(Items!$E$5:$E$304,MATCH(D249,Items!$A$5:$A$304,0)),0))</f>
        <v>0</v>
      </c>
      <c r="N249" s="37" t="str">
        <f aca="false">IF(A249="","",IFERROR(INDEX(Customers!$E$5:$E$204,MATCH(C249,Customers!$A$5:$A$204,0)),"?"))</f>
        <v/>
      </c>
      <c r="O249" s="38" t="str">
        <f aca="false">IF(A249="","",IF(N249=Settings!$B$17,"No","Yes"))</f>
        <v/>
      </c>
      <c r="P249" s="35" t="n">
        <f aca="false">IF(O249="Yes",ROUND(L249*M249,2),0)</f>
        <v>0</v>
      </c>
      <c r="Q249" s="35" t="n">
        <f aca="false">IF(O249="No",ROUND(L249*M249/2,2),0)</f>
        <v>0</v>
      </c>
      <c r="R249" s="35" t="n">
        <f aca="false">Q249</f>
        <v>0</v>
      </c>
      <c r="S249" s="35" t="n">
        <f aca="false">L249+P249+Q249+R249</f>
        <v>0</v>
      </c>
      <c r="T249" s="34" t="str">
        <f aca="false">IF(A249="","",IFERROR(INDEX(Customers!$B$5:$B$204,MATCH(C249,Customers!$A$5:$A$204,0))&amp;"",""))</f>
        <v/>
      </c>
      <c r="U249" s="38" t="str">
        <f aca="false">IF(A249="","",IF(T249&lt;&gt;"","B2B",IF(AND(O249="Yes",SUMIF($A$5:$A$1004,A249,$L$5:$L$1004)+SUMIF($A$5:$A$1004,A249,$P$5:$P$1004)&gt;100000),"B2CL","B2CS")))</f>
        <v/>
      </c>
      <c r="V249" s="17" t="str">
        <f aca="false">IF(A249="","",TEXT(B249,"mmm-yyyy"))</f>
        <v/>
      </c>
    </row>
    <row r="250" customFormat="false" ht="15" hidden="false" customHeight="true" outlineLevel="0" collapsed="false">
      <c r="A250" s="24"/>
      <c r="B250" s="39"/>
      <c r="C250" s="24"/>
      <c r="D250" s="24"/>
      <c r="E250" s="40"/>
      <c r="F250" s="29"/>
      <c r="G250" s="30"/>
      <c r="H250" s="17" t="str">
        <f aca="false">IF(A250="","",A250&amp;"|"&amp;COUNTIF(A$5:A250,A250))</f>
        <v/>
      </c>
      <c r="I250" s="33" t="str">
        <f aca="false">IF(A250="","",IFERROR(INDEX(Items!$B$5:$B$304,MATCH(D250,Items!$A$5:$A$304,0))&amp;"",""))</f>
        <v/>
      </c>
      <c r="J250" s="34" t="str">
        <f aca="false">IF(A250="","",IFERROR(INDEX(Items!$C$5:$C$304,MATCH(D250,Items!$A$5:$A$304,0))&amp;"",""))</f>
        <v/>
      </c>
      <c r="K250" s="35" t="n">
        <f aca="false">IF(A250="",0,IF(ISNUMBER(F250),F250,IFERROR(INDEX(Items!$D$5:$D$304,MATCH(D250,Items!$A$5:$A$304,0)),0)))</f>
        <v>0</v>
      </c>
      <c r="L250" s="35" t="n">
        <f aca="false">ROUND(N(E250)*K250*(1-N(G250)),2)</f>
        <v>0</v>
      </c>
      <c r="M250" s="36" t="n">
        <f aca="false">IF(A250="",0,IFERROR(INDEX(Items!$E$5:$E$304,MATCH(D250,Items!$A$5:$A$304,0)),0))</f>
        <v>0</v>
      </c>
      <c r="N250" s="37" t="str">
        <f aca="false">IF(A250="","",IFERROR(INDEX(Customers!$E$5:$E$204,MATCH(C250,Customers!$A$5:$A$204,0)),"?"))</f>
        <v/>
      </c>
      <c r="O250" s="38" t="str">
        <f aca="false">IF(A250="","",IF(N250=Settings!$B$17,"No","Yes"))</f>
        <v/>
      </c>
      <c r="P250" s="35" t="n">
        <f aca="false">IF(O250="Yes",ROUND(L250*M250,2),0)</f>
        <v>0</v>
      </c>
      <c r="Q250" s="35" t="n">
        <f aca="false">IF(O250="No",ROUND(L250*M250/2,2),0)</f>
        <v>0</v>
      </c>
      <c r="R250" s="35" t="n">
        <f aca="false">Q250</f>
        <v>0</v>
      </c>
      <c r="S250" s="35" t="n">
        <f aca="false">L250+P250+Q250+R250</f>
        <v>0</v>
      </c>
      <c r="T250" s="34" t="str">
        <f aca="false">IF(A250="","",IFERROR(INDEX(Customers!$B$5:$B$204,MATCH(C250,Customers!$A$5:$A$204,0))&amp;"",""))</f>
        <v/>
      </c>
      <c r="U250" s="38" t="str">
        <f aca="false">IF(A250="","",IF(T250&lt;&gt;"","B2B",IF(AND(O250="Yes",SUMIF($A$5:$A$1004,A250,$L$5:$L$1004)+SUMIF($A$5:$A$1004,A250,$P$5:$P$1004)&gt;100000),"B2CL","B2CS")))</f>
        <v/>
      </c>
      <c r="V250" s="17" t="str">
        <f aca="false">IF(A250="","",TEXT(B250,"mmm-yyyy"))</f>
        <v/>
      </c>
    </row>
    <row r="251" customFormat="false" ht="15" hidden="false" customHeight="true" outlineLevel="0" collapsed="false">
      <c r="A251" s="24"/>
      <c r="B251" s="39"/>
      <c r="C251" s="24"/>
      <c r="D251" s="24"/>
      <c r="E251" s="40"/>
      <c r="F251" s="29"/>
      <c r="G251" s="30"/>
      <c r="H251" s="17" t="str">
        <f aca="false">IF(A251="","",A251&amp;"|"&amp;COUNTIF(A$5:A251,A251))</f>
        <v/>
      </c>
      <c r="I251" s="33" t="str">
        <f aca="false">IF(A251="","",IFERROR(INDEX(Items!$B$5:$B$304,MATCH(D251,Items!$A$5:$A$304,0))&amp;"",""))</f>
        <v/>
      </c>
      <c r="J251" s="34" t="str">
        <f aca="false">IF(A251="","",IFERROR(INDEX(Items!$C$5:$C$304,MATCH(D251,Items!$A$5:$A$304,0))&amp;"",""))</f>
        <v/>
      </c>
      <c r="K251" s="35" t="n">
        <f aca="false">IF(A251="",0,IF(ISNUMBER(F251),F251,IFERROR(INDEX(Items!$D$5:$D$304,MATCH(D251,Items!$A$5:$A$304,0)),0)))</f>
        <v>0</v>
      </c>
      <c r="L251" s="35" t="n">
        <f aca="false">ROUND(N(E251)*K251*(1-N(G251)),2)</f>
        <v>0</v>
      </c>
      <c r="M251" s="36" t="n">
        <f aca="false">IF(A251="",0,IFERROR(INDEX(Items!$E$5:$E$304,MATCH(D251,Items!$A$5:$A$304,0)),0))</f>
        <v>0</v>
      </c>
      <c r="N251" s="37" t="str">
        <f aca="false">IF(A251="","",IFERROR(INDEX(Customers!$E$5:$E$204,MATCH(C251,Customers!$A$5:$A$204,0)),"?"))</f>
        <v/>
      </c>
      <c r="O251" s="38" t="str">
        <f aca="false">IF(A251="","",IF(N251=Settings!$B$17,"No","Yes"))</f>
        <v/>
      </c>
      <c r="P251" s="35" t="n">
        <f aca="false">IF(O251="Yes",ROUND(L251*M251,2),0)</f>
        <v>0</v>
      </c>
      <c r="Q251" s="35" t="n">
        <f aca="false">IF(O251="No",ROUND(L251*M251/2,2),0)</f>
        <v>0</v>
      </c>
      <c r="R251" s="35" t="n">
        <f aca="false">Q251</f>
        <v>0</v>
      </c>
      <c r="S251" s="35" t="n">
        <f aca="false">L251+P251+Q251+R251</f>
        <v>0</v>
      </c>
      <c r="T251" s="34" t="str">
        <f aca="false">IF(A251="","",IFERROR(INDEX(Customers!$B$5:$B$204,MATCH(C251,Customers!$A$5:$A$204,0))&amp;"",""))</f>
        <v/>
      </c>
      <c r="U251" s="38" t="str">
        <f aca="false">IF(A251="","",IF(T251&lt;&gt;"","B2B",IF(AND(O251="Yes",SUMIF($A$5:$A$1004,A251,$L$5:$L$1004)+SUMIF($A$5:$A$1004,A251,$P$5:$P$1004)&gt;100000),"B2CL","B2CS")))</f>
        <v/>
      </c>
      <c r="V251" s="17" t="str">
        <f aca="false">IF(A251="","",TEXT(B251,"mmm-yyyy"))</f>
        <v/>
      </c>
    </row>
    <row r="252" customFormat="false" ht="15" hidden="false" customHeight="true" outlineLevel="0" collapsed="false">
      <c r="A252" s="24"/>
      <c r="B252" s="39"/>
      <c r="C252" s="24"/>
      <c r="D252" s="24"/>
      <c r="E252" s="40"/>
      <c r="F252" s="29"/>
      <c r="G252" s="30"/>
      <c r="H252" s="17" t="str">
        <f aca="false">IF(A252="","",A252&amp;"|"&amp;COUNTIF(A$5:A252,A252))</f>
        <v/>
      </c>
      <c r="I252" s="33" t="str">
        <f aca="false">IF(A252="","",IFERROR(INDEX(Items!$B$5:$B$304,MATCH(D252,Items!$A$5:$A$304,0))&amp;"",""))</f>
        <v/>
      </c>
      <c r="J252" s="34" t="str">
        <f aca="false">IF(A252="","",IFERROR(INDEX(Items!$C$5:$C$304,MATCH(D252,Items!$A$5:$A$304,0))&amp;"",""))</f>
        <v/>
      </c>
      <c r="K252" s="35" t="n">
        <f aca="false">IF(A252="",0,IF(ISNUMBER(F252),F252,IFERROR(INDEX(Items!$D$5:$D$304,MATCH(D252,Items!$A$5:$A$304,0)),0)))</f>
        <v>0</v>
      </c>
      <c r="L252" s="35" t="n">
        <f aca="false">ROUND(N(E252)*K252*(1-N(G252)),2)</f>
        <v>0</v>
      </c>
      <c r="M252" s="36" t="n">
        <f aca="false">IF(A252="",0,IFERROR(INDEX(Items!$E$5:$E$304,MATCH(D252,Items!$A$5:$A$304,0)),0))</f>
        <v>0</v>
      </c>
      <c r="N252" s="37" t="str">
        <f aca="false">IF(A252="","",IFERROR(INDEX(Customers!$E$5:$E$204,MATCH(C252,Customers!$A$5:$A$204,0)),"?"))</f>
        <v/>
      </c>
      <c r="O252" s="38" t="str">
        <f aca="false">IF(A252="","",IF(N252=Settings!$B$17,"No","Yes"))</f>
        <v/>
      </c>
      <c r="P252" s="35" t="n">
        <f aca="false">IF(O252="Yes",ROUND(L252*M252,2),0)</f>
        <v>0</v>
      </c>
      <c r="Q252" s="35" t="n">
        <f aca="false">IF(O252="No",ROUND(L252*M252/2,2),0)</f>
        <v>0</v>
      </c>
      <c r="R252" s="35" t="n">
        <f aca="false">Q252</f>
        <v>0</v>
      </c>
      <c r="S252" s="35" t="n">
        <f aca="false">L252+P252+Q252+R252</f>
        <v>0</v>
      </c>
      <c r="T252" s="34" t="str">
        <f aca="false">IF(A252="","",IFERROR(INDEX(Customers!$B$5:$B$204,MATCH(C252,Customers!$A$5:$A$204,0))&amp;"",""))</f>
        <v/>
      </c>
      <c r="U252" s="38" t="str">
        <f aca="false">IF(A252="","",IF(T252&lt;&gt;"","B2B",IF(AND(O252="Yes",SUMIF($A$5:$A$1004,A252,$L$5:$L$1004)+SUMIF($A$5:$A$1004,A252,$P$5:$P$1004)&gt;100000),"B2CL","B2CS")))</f>
        <v/>
      </c>
      <c r="V252" s="17" t="str">
        <f aca="false">IF(A252="","",TEXT(B252,"mmm-yyyy"))</f>
        <v/>
      </c>
    </row>
    <row r="253" customFormat="false" ht="15" hidden="false" customHeight="true" outlineLevel="0" collapsed="false">
      <c r="A253" s="24"/>
      <c r="B253" s="39"/>
      <c r="C253" s="24"/>
      <c r="D253" s="24"/>
      <c r="E253" s="40"/>
      <c r="F253" s="29"/>
      <c r="G253" s="30"/>
      <c r="H253" s="17" t="str">
        <f aca="false">IF(A253="","",A253&amp;"|"&amp;COUNTIF(A$5:A253,A253))</f>
        <v/>
      </c>
      <c r="I253" s="33" t="str">
        <f aca="false">IF(A253="","",IFERROR(INDEX(Items!$B$5:$B$304,MATCH(D253,Items!$A$5:$A$304,0))&amp;"",""))</f>
        <v/>
      </c>
      <c r="J253" s="34" t="str">
        <f aca="false">IF(A253="","",IFERROR(INDEX(Items!$C$5:$C$304,MATCH(D253,Items!$A$5:$A$304,0))&amp;"",""))</f>
        <v/>
      </c>
      <c r="K253" s="35" t="n">
        <f aca="false">IF(A253="",0,IF(ISNUMBER(F253),F253,IFERROR(INDEX(Items!$D$5:$D$304,MATCH(D253,Items!$A$5:$A$304,0)),0)))</f>
        <v>0</v>
      </c>
      <c r="L253" s="35" t="n">
        <f aca="false">ROUND(N(E253)*K253*(1-N(G253)),2)</f>
        <v>0</v>
      </c>
      <c r="M253" s="36" t="n">
        <f aca="false">IF(A253="",0,IFERROR(INDEX(Items!$E$5:$E$304,MATCH(D253,Items!$A$5:$A$304,0)),0))</f>
        <v>0</v>
      </c>
      <c r="N253" s="37" t="str">
        <f aca="false">IF(A253="","",IFERROR(INDEX(Customers!$E$5:$E$204,MATCH(C253,Customers!$A$5:$A$204,0)),"?"))</f>
        <v/>
      </c>
      <c r="O253" s="38" t="str">
        <f aca="false">IF(A253="","",IF(N253=Settings!$B$17,"No","Yes"))</f>
        <v/>
      </c>
      <c r="P253" s="35" t="n">
        <f aca="false">IF(O253="Yes",ROUND(L253*M253,2),0)</f>
        <v>0</v>
      </c>
      <c r="Q253" s="35" t="n">
        <f aca="false">IF(O253="No",ROUND(L253*M253/2,2),0)</f>
        <v>0</v>
      </c>
      <c r="R253" s="35" t="n">
        <f aca="false">Q253</f>
        <v>0</v>
      </c>
      <c r="S253" s="35" t="n">
        <f aca="false">L253+P253+Q253+R253</f>
        <v>0</v>
      </c>
      <c r="T253" s="34" t="str">
        <f aca="false">IF(A253="","",IFERROR(INDEX(Customers!$B$5:$B$204,MATCH(C253,Customers!$A$5:$A$204,0))&amp;"",""))</f>
        <v/>
      </c>
      <c r="U253" s="38" t="str">
        <f aca="false">IF(A253="","",IF(T253&lt;&gt;"","B2B",IF(AND(O253="Yes",SUMIF($A$5:$A$1004,A253,$L$5:$L$1004)+SUMIF($A$5:$A$1004,A253,$P$5:$P$1004)&gt;100000),"B2CL","B2CS")))</f>
        <v/>
      </c>
      <c r="V253" s="17" t="str">
        <f aca="false">IF(A253="","",TEXT(B253,"mmm-yyyy"))</f>
        <v/>
      </c>
    </row>
    <row r="254" customFormat="false" ht="15" hidden="false" customHeight="true" outlineLevel="0" collapsed="false">
      <c r="A254" s="24"/>
      <c r="B254" s="39"/>
      <c r="C254" s="24"/>
      <c r="D254" s="24"/>
      <c r="E254" s="40"/>
      <c r="F254" s="29"/>
      <c r="G254" s="30"/>
      <c r="H254" s="17" t="str">
        <f aca="false">IF(A254="","",A254&amp;"|"&amp;COUNTIF(A$5:A254,A254))</f>
        <v/>
      </c>
      <c r="I254" s="33" t="str">
        <f aca="false">IF(A254="","",IFERROR(INDEX(Items!$B$5:$B$304,MATCH(D254,Items!$A$5:$A$304,0))&amp;"",""))</f>
        <v/>
      </c>
      <c r="J254" s="34" t="str">
        <f aca="false">IF(A254="","",IFERROR(INDEX(Items!$C$5:$C$304,MATCH(D254,Items!$A$5:$A$304,0))&amp;"",""))</f>
        <v/>
      </c>
      <c r="K254" s="35" t="n">
        <f aca="false">IF(A254="",0,IF(ISNUMBER(F254),F254,IFERROR(INDEX(Items!$D$5:$D$304,MATCH(D254,Items!$A$5:$A$304,0)),0)))</f>
        <v>0</v>
      </c>
      <c r="L254" s="35" t="n">
        <f aca="false">ROUND(N(E254)*K254*(1-N(G254)),2)</f>
        <v>0</v>
      </c>
      <c r="M254" s="36" t="n">
        <f aca="false">IF(A254="",0,IFERROR(INDEX(Items!$E$5:$E$304,MATCH(D254,Items!$A$5:$A$304,0)),0))</f>
        <v>0</v>
      </c>
      <c r="N254" s="37" t="str">
        <f aca="false">IF(A254="","",IFERROR(INDEX(Customers!$E$5:$E$204,MATCH(C254,Customers!$A$5:$A$204,0)),"?"))</f>
        <v/>
      </c>
      <c r="O254" s="38" t="str">
        <f aca="false">IF(A254="","",IF(N254=Settings!$B$17,"No","Yes"))</f>
        <v/>
      </c>
      <c r="P254" s="35" t="n">
        <f aca="false">IF(O254="Yes",ROUND(L254*M254,2),0)</f>
        <v>0</v>
      </c>
      <c r="Q254" s="35" t="n">
        <f aca="false">IF(O254="No",ROUND(L254*M254/2,2),0)</f>
        <v>0</v>
      </c>
      <c r="R254" s="35" t="n">
        <f aca="false">Q254</f>
        <v>0</v>
      </c>
      <c r="S254" s="35" t="n">
        <f aca="false">L254+P254+Q254+R254</f>
        <v>0</v>
      </c>
      <c r="T254" s="34" t="str">
        <f aca="false">IF(A254="","",IFERROR(INDEX(Customers!$B$5:$B$204,MATCH(C254,Customers!$A$5:$A$204,0))&amp;"",""))</f>
        <v/>
      </c>
      <c r="U254" s="38" t="str">
        <f aca="false">IF(A254="","",IF(T254&lt;&gt;"","B2B",IF(AND(O254="Yes",SUMIF($A$5:$A$1004,A254,$L$5:$L$1004)+SUMIF($A$5:$A$1004,A254,$P$5:$P$1004)&gt;100000),"B2CL","B2CS")))</f>
        <v/>
      </c>
      <c r="V254" s="17" t="str">
        <f aca="false">IF(A254="","",TEXT(B254,"mmm-yyyy"))</f>
        <v/>
      </c>
    </row>
    <row r="255" customFormat="false" ht="15" hidden="false" customHeight="true" outlineLevel="0" collapsed="false">
      <c r="A255" s="24"/>
      <c r="B255" s="39"/>
      <c r="C255" s="24"/>
      <c r="D255" s="24"/>
      <c r="E255" s="40"/>
      <c r="F255" s="29"/>
      <c r="G255" s="30"/>
      <c r="H255" s="17" t="str">
        <f aca="false">IF(A255="","",A255&amp;"|"&amp;COUNTIF(A$5:A255,A255))</f>
        <v/>
      </c>
      <c r="I255" s="33" t="str">
        <f aca="false">IF(A255="","",IFERROR(INDEX(Items!$B$5:$B$304,MATCH(D255,Items!$A$5:$A$304,0))&amp;"",""))</f>
        <v/>
      </c>
      <c r="J255" s="34" t="str">
        <f aca="false">IF(A255="","",IFERROR(INDEX(Items!$C$5:$C$304,MATCH(D255,Items!$A$5:$A$304,0))&amp;"",""))</f>
        <v/>
      </c>
      <c r="K255" s="35" t="n">
        <f aca="false">IF(A255="",0,IF(ISNUMBER(F255),F255,IFERROR(INDEX(Items!$D$5:$D$304,MATCH(D255,Items!$A$5:$A$304,0)),0)))</f>
        <v>0</v>
      </c>
      <c r="L255" s="35" t="n">
        <f aca="false">ROUND(N(E255)*K255*(1-N(G255)),2)</f>
        <v>0</v>
      </c>
      <c r="M255" s="36" t="n">
        <f aca="false">IF(A255="",0,IFERROR(INDEX(Items!$E$5:$E$304,MATCH(D255,Items!$A$5:$A$304,0)),0))</f>
        <v>0</v>
      </c>
      <c r="N255" s="37" t="str">
        <f aca="false">IF(A255="","",IFERROR(INDEX(Customers!$E$5:$E$204,MATCH(C255,Customers!$A$5:$A$204,0)),"?"))</f>
        <v/>
      </c>
      <c r="O255" s="38" t="str">
        <f aca="false">IF(A255="","",IF(N255=Settings!$B$17,"No","Yes"))</f>
        <v/>
      </c>
      <c r="P255" s="35" t="n">
        <f aca="false">IF(O255="Yes",ROUND(L255*M255,2),0)</f>
        <v>0</v>
      </c>
      <c r="Q255" s="35" t="n">
        <f aca="false">IF(O255="No",ROUND(L255*M255/2,2),0)</f>
        <v>0</v>
      </c>
      <c r="R255" s="35" t="n">
        <f aca="false">Q255</f>
        <v>0</v>
      </c>
      <c r="S255" s="35" t="n">
        <f aca="false">L255+P255+Q255+R255</f>
        <v>0</v>
      </c>
      <c r="T255" s="34" t="str">
        <f aca="false">IF(A255="","",IFERROR(INDEX(Customers!$B$5:$B$204,MATCH(C255,Customers!$A$5:$A$204,0))&amp;"",""))</f>
        <v/>
      </c>
      <c r="U255" s="38" t="str">
        <f aca="false">IF(A255="","",IF(T255&lt;&gt;"","B2B",IF(AND(O255="Yes",SUMIF($A$5:$A$1004,A255,$L$5:$L$1004)+SUMIF($A$5:$A$1004,A255,$P$5:$P$1004)&gt;100000),"B2CL","B2CS")))</f>
        <v/>
      </c>
      <c r="V255" s="17" t="str">
        <f aca="false">IF(A255="","",TEXT(B255,"mmm-yyyy"))</f>
        <v/>
      </c>
    </row>
    <row r="256" customFormat="false" ht="15" hidden="false" customHeight="true" outlineLevel="0" collapsed="false">
      <c r="A256" s="24"/>
      <c r="B256" s="39"/>
      <c r="C256" s="24"/>
      <c r="D256" s="24"/>
      <c r="E256" s="40"/>
      <c r="F256" s="29"/>
      <c r="G256" s="30"/>
      <c r="H256" s="17" t="str">
        <f aca="false">IF(A256="","",A256&amp;"|"&amp;COUNTIF(A$5:A256,A256))</f>
        <v/>
      </c>
      <c r="I256" s="33" t="str">
        <f aca="false">IF(A256="","",IFERROR(INDEX(Items!$B$5:$B$304,MATCH(D256,Items!$A$5:$A$304,0))&amp;"",""))</f>
        <v/>
      </c>
      <c r="J256" s="34" t="str">
        <f aca="false">IF(A256="","",IFERROR(INDEX(Items!$C$5:$C$304,MATCH(D256,Items!$A$5:$A$304,0))&amp;"",""))</f>
        <v/>
      </c>
      <c r="K256" s="35" t="n">
        <f aca="false">IF(A256="",0,IF(ISNUMBER(F256),F256,IFERROR(INDEX(Items!$D$5:$D$304,MATCH(D256,Items!$A$5:$A$304,0)),0)))</f>
        <v>0</v>
      </c>
      <c r="L256" s="35" t="n">
        <f aca="false">ROUND(N(E256)*K256*(1-N(G256)),2)</f>
        <v>0</v>
      </c>
      <c r="M256" s="36" t="n">
        <f aca="false">IF(A256="",0,IFERROR(INDEX(Items!$E$5:$E$304,MATCH(D256,Items!$A$5:$A$304,0)),0))</f>
        <v>0</v>
      </c>
      <c r="N256" s="37" t="str">
        <f aca="false">IF(A256="","",IFERROR(INDEX(Customers!$E$5:$E$204,MATCH(C256,Customers!$A$5:$A$204,0)),"?"))</f>
        <v/>
      </c>
      <c r="O256" s="38" t="str">
        <f aca="false">IF(A256="","",IF(N256=Settings!$B$17,"No","Yes"))</f>
        <v/>
      </c>
      <c r="P256" s="35" t="n">
        <f aca="false">IF(O256="Yes",ROUND(L256*M256,2),0)</f>
        <v>0</v>
      </c>
      <c r="Q256" s="35" t="n">
        <f aca="false">IF(O256="No",ROUND(L256*M256/2,2),0)</f>
        <v>0</v>
      </c>
      <c r="R256" s="35" t="n">
        <f aca="false">Q256</f>
        <v>0</v>
      </c>
      <c r="S256" s="35" t="n">
        <f aca="false">L256+P256+Q256+R256</f>
        <v>0</v>
      </c>
      <c r="T256" s="34" t="str">
        <f aca="false">IF(A256="","",IFERROR(INDEX(Customers!$B$5:$B$204,MATCH(C256,Customers!$A$5:$A$204,0))&amp;"",""))</f>
        <v/>
      </c>
      <c r="U256" s="38" t="str">
        <f aca="false">IF(A256="","",IF(T256&lt;&gt;"","B2B",IF(AND(O256="Yes",SUMIF($A$5:$A$1004,A256,$L$5:$L$1004)+SUMIF($A$5:$A$1004,A256,$P$5:$P$1004)&gt;100000),"B2CL","B2CS")))</f>
        <v/>
      </c>
      <c r="V256" s="17" t="str">
        <f aca="false">IF(A256="","",TEXT(B256,"mmm-yyyy"))</f>
        <v/>
      </c>
    </row>
    <row r="257" customFormat="false" ht="15" hidden="false" customHeight="true" outlineLevel="0" collapsed="false">
      <c r="A257" s="24"/>
      <c r="B257" s="39"/>
      <c r="C257" s="24"/>
      <c r="D257" s="24"/>
      <c r="E257" s="40"/>
      <c r="F257" s="29"/>
      <c r="G257" s="30"/>
      <c r="H257" s="17" t="str">
        <f aca="false">IF(A257="","",A257&amp;"|"&amp;COUNTIF(A$5:A257,A257))</f>
        <v/>
      </c>
      <c r="I257" s="33" t="str">
        <f aca="false">IF(A257="","",IFERROR(INDEX(Items!$B$5:$B$304,MATCH(D257,Items!$A$5:$A$304,0))&amp;"",""))</f>
        <v/>
      </c>
      <c r="J257" s="34" t="str">
        <f aca="false">IF(A257="","",IFERROR(INDEX(Items!$C$5:$C$304,MATCH(D257,Items!$A$5:$A$304,0))&amp;"",""))</f>
        <v/>
      </c>
      <c r="K257" s="35" t="n">
        <f aca="false">IF(A257="",0,IF(ISNUMBER(F257),F257,IFERROR(INDEX(Items!$D$5:$D$304,MATCH(D257,Items!$A$5:$A$304,0)),0)))</f>
        <v>0</v>
      </c>
      <c r="L257" s="35" t="n">
        <f aca="false">ROUND(N(E257)*K257*(1-N(G257)),2)</f>
        <v>0</v>
      </c>
      <c r="M257" s="36" t="n">
        <f aca="false">IF(A257="",0,IFERROR(INDEX(Items!$E$5:$E$304,MATCH(D257,Items!$A$5:$A$304,0)),0))</f>
        <v>0</v>
      </c>
      <c r="N257" s="37" t="str">
        <f aca="false">IF(A257="","",IFERROR(INDEX(Customers!$E$5:$E$204,MATCH(C257,Customers!$A$5:$A$204,0)),"?"))</f>
        <v/>
      </c>
      <c r="O257" s="38" t="str">
        <f aca="false">IF(A257="","",IF(N257=Settings!$B$17,"No","Yes"))</f>
        <v/>
      </c>
      <c r="P257" s="35" t="n">
        <f aca="false">IF(O257="Yes",ROUND(L257*M257,2),0)</f>
        <v>0</v>
      </c>
      <c r="Q257" s="35" t="n">
        <f aca="false">IF(O257="No",ROUND(L257*M257/2,2),0)</f>
        <v>0</v>
      </c>
      <c r="R257" s="35" t="n">
        <f aca="false">Q257</f>
        <v>0</v>
      </c>
      <c r="S257" s="35" t="n">
        <f aca="false">L257+P257+Q257+R257</f>
        <v>0</v>
      </c>
      <c r="T257" s="34" t="str">
        <f aca="false">IF(A257="","",IFERROR(INDEX(Customers!$B$5:$B$204,MATCH(C257,Customers!$A$5:$A$204,0))&amp;"",""))</f>
        <v/>
      </c>
      <c r="U257" s="38" t="str">
        <f aca="false">IF(A257="","",IF(T257&lt;&gt;"","B2B",IF(AND(O257="Yes",SUMIF($A$5:$A$1004,A257,$L$5:$L$1004)+SUMIF($A$5:$A$1004,A257,$P$5:$P$1004)&gt;100000),"B2CL","B2CS")))</f>
        <v/>
      </c>
      <c r="V257" s="17" t="str">
        <f aca="false">IF(A257="","",TEXT(B257,"mmm-yyyy"))</f>
        <v/>
      </c>
    </row>
    <row r="258" customFormat="false" ht="15" hidden="false" customHeight="true" outlineLevel="0" collapsed="false">
      <c r="A258" s="24"/>
      <c r="B258" s="39"/>
      <c r="C258" s="24"/>
      <c r="D258" s="24"/>
      <c r="E258" s="40"/>
      <c r="F258" s="29"/>
      <c r="G258" s="30"/>
      <c r="H258" s="17" t="str">
        <f aca="false">IF(A258="","",A258&amp;"|"&amp;COUNTIF(A$5:A258,A258))</f>
        <v/>
      </c>
      <c r="I258" s="33" t="str">
        <f aca="false">IF(A258="","",IFERROR(INDEX(Items!$B$5:$B$304,MATCH(D258,Items!$A$5:$A$304,0))&amp;"",""))</f>
        <v/>
      </c>
      <c r="J258" s="34" t="str">
        <f aca="false">IF(A258="","",IFERROR(INDEX(Items!$C$5:$C$304,MATCH(D258,Items!$A$5:$A$304,0))&amp;"",""))</f>
        <v/>
      </c>
      <c r="K258" s="35" t="n">
        <f aca="false">IF(A258="",0,IF(ISNUMBER(F258),F258,IFERROR(INDEX(Items!$D$5:$D$304,MATCH(D258,Items!$A$5:$A$304,0)),0)))</f>
        <v>0</v>
      </c>
      <c r="L258" s="35" t="n">
        <f aca="false">ROUND(N(E258)*K258*(1-N(G258)),2)</f>
        <v>0</v>
      </c>
      <c r="M258" s="36" t="n">
        <f aca="false">IF(A258="",0,IFERROR(INDEX(Items!$E$5:$E$304,MATCH(D258,Items!$A$5:$A$304,0)),0))</f>
        <v>0</v>
      </c>
      <c r="N258" s="37" t="str">
        <f aca="false">IF(A258="","",IFERROR(INDEX(Customers!$E$5:$E$204,MATCH(C258,Customers!$A$5:$A$204,0)),"?"))</f>
        <v/>
      </c>
      <c r="O258" s="38" t="str">
        <f aca="false">IF(A258="","",IF(N258=Settings!$B$17,"No","Yes"))</f>
        <v/>
      </c>
      <c r="P258" s="35" t="n">
        <f aca="false">IF(O258="Yes",ROUND(L258*M258,2),0)</f>
        <v>0</v>
      </c>
      <c r="Q258" s="35" t="n">
        <f aca="false">IF(O258="No",ROUND(L258*M258/2,2),0)</f>
        <v>0</v>
      </c>
      <c r="R258" s="35" t="n">
        <f aca="false">Q258</f>
        <v>0</v>
      </c>
      <c r="S258" s="35" t="n">
        <f aca="false">L258+P258+Q258+R258</f>
        <v>0</v>
      </c>
      <c r="T258" s="34" t="str">
        <f aca="false">IF(A258="","",IFERROR(INDEX(Customers!$B$5:$B$204,MATCH(C258,Customers!$A$5:$A$204,0))&amp;"",""))</f>
        <v/>
      </c>
      <c r="U258" s="38" t="str">
        <f aca="false">IF(A258="","",IF(T258&lt;&gt;"","B2B",IF(AND(O258="Yes",SUMIF($A$5:$A$1004,A258,$L$5:$L$1004)+SUMIF($A$5:$A$1004,A258,$P$5:$P$1004)&gt;100000),"B2CL","B2CS")))</f>
        <v/>
      </c>
      <c r="V258" s="17" t="str">
        <f aca="false">IF(A258="","",TEXT(B258,"mmm-yyyy"))</f>
        <v/>
      </c>
    </row>
    <row r="259" customFormat="false" ht="15" hidden="false" customHeight="true" outlineLevel="0" collapsed="false">
      <c r="A259" s="24"/>
      <c r="B259" s="39"/>
      <c r="C259" s="24"/>
      <c r="D259" s="24"/>
      <c r="E259" s="40"/>
      <c r="F259" s="29"/>
      <c r="G259" s="30"/>
      <c r="H259" s="17" t="str">
        <f aca="false">IF(A259="","",A259&amp;"|"&amp;COUNTIF(A$5:A259,A259))</f>
        <v/>
      </c>
      <c r="I259" s="33" t="str">
        <f aca="false">IF(A259="","",IFERROR(INDEX(Items!$B$5:$B$304,MATCH(D259,Items!$A$5:$A$304,0))&amp;"",""))</f>
        <v/>
      </c>
      <c r="J259" s="34" t="str">
        <f aca="false">IF(A259="","",IFERROR(INDEX(Items!$C$5:$C$304,MATCH(D259,Items!$A$5:$A$304,0))&amp;"",""))</f>
        <v/>
      </c>
      <c r="K259" s="35" t="n">
        <f aca="false">IF(A259="",0,IF(ISNUMBER(F259),F259,IFERROR(INDEX(Items!$D$5:$D$304,MATCH(D259,Items!$A$5:$A$304,0)),0)))</f>
        <v>0</v>
      </c>
      <c r="L259" s="35" t="n">
        <f aca="false">ROUND(N(E259)*K259*(1-N(G259)),2)</f>
        <v>0</v>
      </c>
      <c r="M259" s="36" t="n">
        <f aca="false">IF(A259="",0,IFERROR(INDEX(Items!$E$5:$E$304,MATCH(D259,Items!$A$5:$A$304,0)),0))</f>
        <v>0</v>
      </c>
      <c r="N259" s="37" t="str">
        <f aca="false">IF(A259="","",IFERROR(INDEX(Customers!$E$5:$E$204,MATCH(C259,Customers!$A$5:$A$204,0)),"?"))</f>
        <v/>
      </c>
      <c r="O259" s="38" t="str">
        <f aca="false">IF(A259="","",IF(N259=Settings!$B$17,"No","Yes"))</f>
        <v/>
      </c>
      <c r="P259" s="35" t="n">
        <f aca="false">IF(O259="Yes",ROUND(L259*M259,2),0)</f>
        <v>0</v>
      </c>
      <c r="Q259" s="35" t="n">
        <f aca="false">IF(O259="No",ROUND(L259*M259/2,2),0)</f>
        <v>0</v>
      </c>
      <c r="R259" s="35" t="n">
        <f aca="false">Q259</f>
        <v>0</v>
      </c>
      <c r="S259" s="35" t="n">
        <f aca="false">L259+P259+Q259+R259</f>
        <v>0</v>
      </c>
      <c r="T259" s="34" t="str">
        <f aca="false">IF(A259="","",IFERROR(INDEX(Customers!$B$5:$B$204,MATCH(C259,Customers!$A$5:$A$204,0))&amp;"",""))</f>
        <v/>
      </c>
      <c r="U259" s="38" t="str">
        <f aca="false">IF(A259="","",IF(T259&lt;&gt;"","B2B",IF(AND(O259="Yes",SUMIF($A$5:$A$1004,A259,$L$5:$L$1004)+SUMIF($A$5:$A$1004,A259,$P$5:$P$1004)&gt;100000),"B2CL","B2CS")))</f>
        <v/>
      </c>
      <c r="V259" s="17" t="str">
        <f aca="false">IF(A259="","",TEXT(B259,"mmm-yyyy"))</f>
        <v/>
      </c>
    </row>
    <row r="260" customFormat="false" ht="15" hidden="false" customHeight="true" outlineLevel="0" collapsed="false">
      <c r="A260" s="24"/>
      <c r="B260" s="39"/>
      <c r="C260" s="24"/>
      <c r="D260" s="24"/>
      <c r="E260" s="40"/>
      <c r="F260" s="29"/>
      <c r="G260" s="30"/>
      <c r="H260" s="17" t="str">
        <f aca="false">IF(A260="","",A260&amp;"|"&amp;COUNTIF(A$5:A260,A260))</f>
        <v/>
      </c>
      <c r="I260" s="33" t="str">
        <f aca="false">IF(A260="","",IFERROR(INDEX(Items!$B$5:$B$304,MATCH(D260,Items!$A$5:$A$304,0))&amp;"",""))</f>
        <v/>
      </c>
      <c r="J260" s="34" t="str">
        <f aca="false">IF(A260="","",IFERROR(INDEX(Items!$C$5:$C$304,MATCH(D260,Items!$A$5:$A$304,0))&amp;"",""))</f>
        <v/>
      </c>
      <c r="K260" s="35" t="n">
        <f aca="false">IF(A260="",0,IF(ISNUMBER(F260),F260,IFERROR(INDEX(Items!$D$5:$D$304,MATCH(D260,Items!$A$5:$A$304,0)),0)))</f>
        <v>0</v>
      </c>
      <c r="L260" s="35" t="n">
        <f aca="false">ROUND(N(E260)*K260*(1-N(G260)),2)</f>
        <v>0</v>
      </c>
      <c r="M260" s="36" t="n">
        <f aca="false">IF(A260="",0,IFERROR(INDEX(Items!$E$5:$E$304,MATCH(D260,Items!$A$5:$A$304,0)),0))</f>
        <v>0</v>
      </c>
      <c r="N260" s="37" t="str">
        <f aca="false">IF(A260="","",IFERROR(INDEX(Customers!$E$5:$E$204,MATCH(C260,Customers!$A$5:$A$204,0)),"?"))</f>
        <v/>
      </c>
      <c r="O260" s="38" t="str">
        <f aca="false">IF(A260="","",IF(N260=Settings!$B$17,"No","Yes"))</f>
        <v/>
      </c>
      <c r="P260" s="35" t="n">
        <f aca="false">IF(O260="Yes",ROUND(L260*M260,2),0)</f>
        <v>0</v>
      </c>
      <c r="Q260" s="35" t="n">
        <f aca="false">IF(O260="No",ROUND(L260*M260/2,2),0)</f>
        <v>0</v>
      </c>
      <c r="R260" s="35" t="n">
        <f aca="false">Q260</f>
        <v>0</v>
      </c>
      <c r="S260" s="35" t="n">
        <f aca="false">L260+P260+Q260+R260</f>
        <v>0</v>
      </c>
      <c r="T260" s="34" t="str">
        <f aca="false">IF(A260="","",IFERROR(INDEX(Customers!$B$5:$B$204,MATCH(C260,Customers!$A$5:$A$204,0))&amp;"",""))</f>
        <v/>
      </c>
      <c r="U260" s="38" t="str">
        <f aca="false">IF(A260="","",IF(T260&lt;&gt;"","B2B",IF(AND(O260="Yes",SUMIF($A$5:$A$1004,A260,$L$5:$L$1004)+SUMIF($A$5:$A$1004,A260,$P$5:$P$1004)&gt;100000),"B2CL","B2CS")))</f>
        <v/>
      </c>
      <c r="V260" s="17" t="str">
        <f aca="false">IF(A260="","",TEXT(B260,"mmm-yyyy"))</f>
        <v/>
      </c>
    </row>
    <row r="261" customFormat="false" ht="15" hidden="false" customHeight="true" outlineLevel="0" collapsed="false">
      <c r="A261" s="24"/>
      <c r="B261" s="39"/>
      <c r="C261" s="24"/>
      <c r="D261" s="24"/>
      <c r="E261" s="40"/>
      <c r="F261" s="29"/>
      <c r="G261" s="30"/>
      <c r="H261" s="17" t="str">
        <f aca="false">IF(A261="","",A261&amp;"|"&amp;COUNTIF(A$5:A261,A261))</f>
        <v/>
      </c>
      <c r="I261" s="33" t="str">
        <f aca="false">IF(A261="","",IFERROR(INDEX(Items!$B$5:$B$304,MATCH(D261,Items!$A$5:$A$304,0))&amp;"",""))</f>
        <v/>
      </c>
      <c r="J261" s="34" t="str">
        <f aca="false">IF(A261="","",IFERROR(INDEX(Items!$C$5:$C$304,MATCH(D261,Items!$A$5:$A$304,0))&amp;"",""))</f>
        <v/>
      </c>
      <c r="K261" s="35" t="n">
        <f aca="false">IF(A261="",0,IF(ISNUMBER(F261),F261,IFERROR(INDEX(Items!$D$5:$D$304,MATCH(D261,Items!$A$5:$A$304,0)),0)))</f>
        <v>0</v>
      </c>
      <c r="L261" s="35" t="n">
        <f aca="false">ROUND(N(E261)*K261*(1-N(G261)),2)</f>
        <v>0</v>
      </c>
      <c r="M261" s="36" t="n">
        <f aca="false">IF(A261="",0,IFERROR(INDEX(Items!$E$5:$E$304,MATCH(D261,Items!$A$5:$A$304,0)),0))</f>
        <v>0</v>
      </c>
      <c r="N261" s="37" t="str">
        <f aca="false">IF(A261="","",IFERROR(INDEX(Customers!$E$5:$E$204,MATCH(C261,Customers!$A$5:$A$204,0)),"?"))</f>
        <v/>
      </c>
      <c r="O261" s="38" t="str">
        <f aca="false">IF(A261="","",IF(N261=Settings!$B$17,"No","Yes"))</f>
        <v/>
      </c>
      <c r="P261" s="35" t="n">
        <f aca="false">IF(O261="Yes",ROUND(L261*M261,2),0)</f>
        <v>0</v>
      </c>
      <c r="Q261" s="35" t="n">
        <f aca="false">IF(O261="No",ROUND(L261*M261/2,2),0)</f>
        <v>0</v>
      </c>
      <c r="R261" s="35" t="n">
        <f aca="false">Q261</f>
        <v>0</v>
      </c>
      <c r="S261" s="35" t="n">
        <f aca="false">L261+P261+Q261+R261</f>
        <v>0</v>
      </c>
      <c r="T261" s="34" t="str">
        <f aca="false">IF(A261="","",IFERROR(INDEX(Customers!$B$5:$B$204,MATCH(C261,Customers!$A$5:$A$204,0))&amp;"",""))</f>
        <v/>
      </c>
      <c r="U261" s="38" t="str">
        <f aca="false">IF(A261="","",IF(T261&lt;&gt;"","B2B",IF(AND(O261="Yes",SUMIF($A$5:$A$1004,A261,$L$5:$L$1004)+SUMIF($A$5:$A$1004,A261,$P$5:$P$1004)&gt;100000),"B2CL","B2CS")))</f>
        <v/>
      </c>
      <c r="V261" s="17" t="str">
        <f aca="false">IF(A261="","",TEXT(B261,"mmm-yyyy"))</f>
        <v/>
      </c>
    </row>
    <row r="262" customFormat="false" ht="15" hidden="false" customHeight="true" outlineLevel="0" collapsed="false">
      <c r="A262" s="24"/>
      <c r="B262" s="39"/>
      <c r="C262" s="24"/>
      <c r="D262" s="24"/>
      <c r="E262" s="40"/>
      <c r="F262" s="29"/>
      <c r="G262" s="30"/>
      <c r="H262" s="17" t="str">
        <f aca="false">IF(A262="","",A262&amp;"|"&amp;COUNTIF(A$5:A262,A262))</f>
        <v/>
      </c>
      <c r="I262" s="33" t="str">
        <f aca="false">IF(A262="","",IFERROR(INDEX(Items!$B$5:$B$304,MATCH(D262,Items!$A$5:$A$304,0))&amp;"",""))</f>
        <v/>
      </c>
      <c r="J262" s="34" t="str">
        <f aca="false">IF(A262="","",IFERROR(INDEX(Items!$C$5:$C$304,MATCH(D262,Items!$A$5:$A$304,0))&amp;"",""))</f>
        <v/>
      </c>
      <c r="K262" s="35" t="n">
        <f aca="false">IF(A262="",0,IF(ISNUMBER(F262),F262,IFERROR(INDEX(Items!$D$5:$D$304,MATCH(D262,Items!$A$5:$A$304,0)),0)))</f>
        <v>0</v>
      </c>
      <c r="L262" s="35" t="n">
        <f aca="false">ROUND(N(E262)*K262*(1-N(G262)),2)</f>
        <v>0</v>
      </c>
      <c r="M262" s="36" t="n">
        <f aca="false">IF(A262="",0,IFERROR(INDEX(Items!$E$5:$E$304,MATCH(D262,Items!$A$5:$A$304,0)),0))</f>
        <v>0</v>
      </c>
      <c r="N262" s="37" t="str">
        <f aca="false">IF(A262="","",IFERROR(INDEX(Customers!$E$5:$E$204,MATCH(C262,Customers!$A$5:$A$204,0)),"?"))</f>
        <v/>
      </c>
      <c r="O262" s="38" t="str">
        <f aca="false">IF(A262="","",IF(N262=Settings!$B$17,"No","Yes"))</f>
        <v/>
      </c>
      <c r="P262" s="35" t="n">
        <f aca="false">IF(O262="Yes",ROUND(L262*M262,2),0)</f>
        <v>0</v>
      </c>
      <c r="Q262" s="35" t="n">
        <f aca="false">IF(O262="No",ROUND(L262*M262/2,2),0)</f>
        <v>0</v>
      </c>
      <c r="R262" s="35" t="n">
        <f aca="false">Q262</f>
        <v>0</v>
      </c>
      <c r="S262" s="35" t="n">
        <f aca="false">L262+P262+Q262+R262</f>
        <v>0</v>
      </c>
      <c r="T262" s="34" t="str">
        <f aca="false">IF(A262="","",IFERROR(INDEX(Customers!$B$5:$B$204,MATCH(C262,Customers!$A$5:$A$204,0))&amp;"",""))</f>
        <v/>
      </c>
      <c r="U262" s="38" t="str">
        <f aca="false">IF(A262="","",IF(T262&lt;&gt;"","B2B",IF(AND(O262="Yes",SUMIF($A$5:$A$1004,A262,$L$5:$L$1004)+SUMIF($A$5:$A$1004,A262,$P$5:$P$1004)&gt;100000),"B2CL","B2CS")))</f>
        <v/>
      </c>
      <c r="V262" s="17" t="str">
        <f aca="false">IF(A262="","",TEXT(B262,"mmm-yyyy"))</f>
        <v/>
      </c>
    </row>
    <row r="263" customFormat="false" ht="15" hidden="false" customHeight="true" outlineLevel="0" collapsed="false">
      <c r="A263" s="24"/>
      <c r="B263" s="39"/>
      <c r="C263" s="24"/>
      <c r="D263" s="24"/>
      <c r="E263" s="40"/>
      <c r="F263" s="29"/>
      <c r="G263" s="30"/>
      <c r="H263" s="17" t="str">
        <f aca="false">IF(A263="","",A263&amp;"|"&amp;COUNTIF(A$5:A263,A263))</f>
        <v/>
      </c>
      <c r="I263" s="33" t="str">
        <f aca="false">IF(A263="","",IFERROR(INDEX(Items!$B$5:$B$304,MATCH(D263,Items!$A$5:$A$304,0))&amp;"",""))</f>
        <v/>
      </c>
      <c r="J263" s="34" t="str">
        <f aca="false">IF(A263="","",IFERROR(INDEX(Items!$C$5:$C$304,MATCH(D263,Items!$A$5:$A$304,0))&amp;"",""))</f>
        <v/>
      </c>
      <c r="K263" s="35" t="n">
        <f aca="false">IF(A263="",0,IF(ISNUMBER(F263),F263,IFERROR(INDEX(Items!$D$5:$D$304,MATCH(D263,Items!$A$5:$A$304,0)),0)))</f>
        <v>0</v>
      </c>
      <c r="L263" s="35" t="n">
        <f aca="false">ROUND(N(E263)*K263*(1-N(G263)),2)</f>
        <v>0</v>
      </c>
      <c r="M263" s="36" t="n">
        <f aca="false">IF(A263="",0,IFERROR(INDEX(Items!$E$5:$E$304,MATCH(D263,Items!$A$5:$A$304,0)),0))</f>
        <v>0</v>
      </c>
      <c r="N263" s="37" t="str">
        <f aca="false">IF(A263="","",IFERROR(INDEX(Customers!$E$5:$E$204,MATCH(C263,Customers!$A$5:$A$204,0)),"?"))</f>
        <v/>
      </c>
      <c r="O263" s="38" t="str">
        <f aca="false">IF(A263="","",IF(N263=Settings!$B$17,"No","Yes"))</f>
        <v/>
      </c>
      <c r="P263" s="35" t="n">
        <f aca="false">IF(O263="Yes",ROUND(L263*M263,2),0)</f>
        <v>0</v>
      </c>
      <c r="Q263" s="35" t="n">
        <f aca="false">IF(O263="No",ROUND(L263*M263/2,2),0)</f>
        <v>0</v>
      </c>
      <c r="R263" s="35" t="n">
        <f aca="false">Q263</f>
        <v>0</v>
      </c>
      <c r="S263" s="35" t="n">
        <f aca="false">L263+P263+Q263+R263</f>
        <v>0</v>
      </c>
      <c r="T263" s="34" t="str">
        <f aca="false">IF(A263="","",IFERROR(INDEX(Customers!$B$5:$B$204,MATCH(C263,Customers!$A$5:$A$204,0))&amp;"",""))</f>
        <v/>
      </c>
      <c r="U263" s="38" t="str">
        <f aca="false">IF(A263="","",IF(T263&lt;&gt;"","B2B",IF(AND(O263="Yes",SUMIF($A$5:$A$1004,A263,$L$5:$L$1004)+SUMIF($A$5:$A$1004,A263,$P$5:$P$1004)&gt;100000),"B2CL","B2CS")))</f>
        <v/>
      </c>
      <c r="V263" s="17" t="str">
        <f aca="false">IF(A263="","",TEXT(B263,"mmm-yyyy"))</f>
        <v/>
      </c>
    </row>
    <row r="264" customFormat="false" ht="15" hidden="false" customHeight="true" outlineLevel="0" collapsed="false">
      <c r="A264" s="24"/>
      <c r="B264" s="39"/>
      <c r="C264" s="24"/>
      <c r="D264" s="24"/>
      <c r="E264" s="40"/>
      <c r="F264" s="29"/>
      <c r="G264" s="30"/>
      <c r="H264" s="17" t="str">
        <f aca="false">IF(A264="","",A264&amp;"|"&amp;COUNTIF(A$5:A264,A264))</f>
        <v/>
      </c>
      <c r="I264" s="33" t="str">
        <f aca="false">IF(A264="","",IFERROR(INDEX(Items!$B$5:$B$304,MATCH(D264,Items!$A$5:$A$304,0))&amp;"",""))</f>
        <v/>
      </c>
      <c r="J264" s="34" t="str">
        <f aca="false">IF(A264="","",IFERROR(INDEX(Items!$C$5:$C$304,MATCH(D264,Items!$A$5:$A$304,0))&amp;"",""))</f>
        <v/>
      </c>
      <c r="K264" s="35" t="n">
        <f aca="false">IF(A264="",0,IF(ISNUMBER(F264),F264,IFERROR(INDEX(Items!$D$5:$D$304,MATCH(D264,Items!$A$5:$A$304,0)),0)))</f>
        <v>0</v>
      </c>
      <c r="L264" s="35" t="n">
        <f aca="false">ROUND(N(E264)*K264*(1-N(G264)),2)</f>
        <v>0</v>
      </c>
      <c r="M264" s="36" t="n">
        <f aca="false">IF(A264="",0,IFERROR(INDEX(Items!$E$5:$E$304,MATCH(D264,Items!$A$5:$A$304,0)),0))</f>
        <v>0</v>
      </c>
      <c r="N264" s="37" t="str">
        <f aca="false">IF(A264="","",IFERROR(INDEX(Customers!$E$5:$E$204,MATCH(C264,Customers!$A$5:$A$204,0)),"?"))</f>
        <v/>
      </c>
      <c r="O264" s="38" t="str">
        <f aca="false">IF(A264="","",IF(N264=Settings!$B$17,"No","Yes"))</f>
        <v/>
      </c>
      <c r="P264" s="35" t="n">
        <f aca="false">IF(O264="Yes",ROUND(L264*M264,2),0)</f>
        <v>0</v>
      </c>
      <c r="Q264" s="35" t="n">
        <f aca="false">IF(O264="No",ROUND(L264*M264/2,2),0)</f>
        <v>0</v>
      </c>
      <c r="R264" s="35" t="n">
        <f aca="false">Q264</f>
        <v>0</v>
      </c>
      <c r="S264" s="35" t="n">
        <f aca="false">L264+P264+Q264+R264</f>
        <v>0</v>
      </c>
      <c r="T264" s="34" t="str">
        <f aca="false">IF(A264="","",IFERROR(INDEX(Customers!$B$5:$B$204,MATCH(C264,Customers!$A$5:$A$204,0))&amp;"",""))</f>
        <v/>
      </c>
      <c r="U264" s="38" t="str">
        <f aca="false">IF(A264="","",IF(T264&lt;&gt;"","B2B",IF(AND(O264="Yes",SUMIF($A$5:$A$1004,A264,$L$5:$L$1004)+SUMIF($A$5:$A$1004,A264,$P$5:$P$1004)&gt;100000),"B2CL","B2CS")))</f>
        <v/>
      </c>
      <c r="V264" s="17" t="str">
        <f aca="false">IF(A264="","",TEXT(B264,"mmm-yyyy"))</f>
        <v/>
      </c>
    </row>
    <row r="265" customFormat="false" ht="15" hidden="false" customHeight="true" outlineLevel="0" collapsed="false">
      <c r="A265" s="24"/>
      <c r="B265" s="39"/>
      <c r="C265" s="24"/>
      <c r="D265" s="24"/>
      <c r="E265" s="40"/>
      <c r="F265" s="29"/>
      <c r="G265" s="30"/>
      <c r="H265" s="17" t="str">
        <f aca="false">IF(A265="","",A265&amp;"|"&amp;COUNTIF(A$5:A265,A265))</f>
        <v/>
      </c>
      <c r="I265" s="33" t="str">
        <f aca="false">IF(A265="","",IFERROR(INDEX(Items!$B$5:$B$304,MATCH(D265,Items!$A$5:$A$304,0))&amp;"",""))</f>
        <v/>
      </c>
      <c r="J265" s="34" t="str">
        <f aca="false">IF(A265="","",IFERROR(INDEX(Items!$C$5:$C$304,MATCH(D265,Items!$A$5:$A$304,0))&amp;"",""))</f>
        <v/>
      </c>
      <c r="K265" s="35" t="n">
        <f aca="false">IF(A265="",0,IF(ISNUMBER(F265),F265,IFERROR(INDEX(Items!$D$5:$D$304,MATCH(D265,Items!$A$5:$A$304,0)),0)))</f>
        <v>0</v>
      </c>
      <c r="L265" s="35" t="n">
        <f aca="false">ROUND(N(E265)*K265*(1-N(G265)),2)</f>
        <v>0</v>
      </c>
      <c r="M265" s="36" t="n">
        <f aca="false">IF(A265="",0,IFERROR(INDEX(Items!$E$5:$E$304,MATCH(D265,Items!$A$5:$A$304,0)),0))</f>
        <v>0</v>
      </c>
      <c r="N265" s="37" t="str">
        <f aca="false">IF(A265="","",IFERROR(INDEX(Customers!$E$5:$E$204,MATCH(C265,Customers!$A$5:$A$204,0)),"?"))</f>
        <v/>
      </c>
      <c r="O265" s="38" t="str">
        <f aca="false">IF(A265="","",IF(N265=Settings!$B$17,"No","Yes"))</f>
        <v/>
      </c>
      <c r="P265" s="35" t="n">
        <f aca="false">IF(O265="Yes",ROUND(L265*M265,2),0)</f>
        <v>0</v>
      </c>
      <c r="Q265" s="35" t="n">
        <f aca="false">IF(O265="No",ROUND(L265*M265/2,2),0)</f>
        <v>0</v>
      </c>
      <c r="R265" s="35" t="n">
        <f aca="false">Q265</f>
        <v>0</v>
      </c>
      <c r="S265" s="35" t="n">
        <f aca="false">L265+P265+Q265+R265</f>
        <v>0</v>
      </c>
      <c r="T265" s="34" t="str">
        <f aca="false">IF(A265="","",IFERROR(INDEX(Customers!$B$5:$B$204,MATCH(C265,Customers!$A$5:$A$204,0))&amp;"",""))</f>
        <v/>
      </c>
      <c r="U265" s="38" t="str">
        <f aca="false">IF(A265="","",IF(T265&lt;&gt;"","B2B",IF(AND(O265="Yes",SUMIF($A$5:$A$1004,A265,$L$5:$L$1004)+SUMIF($A$5:$A$1004,A265,$P$5:$P$1004)&gt;100000),"B2CL","B2CS")))</f>
        <v/>
      </c>
      <c r="V265" s="17" t="str">
        <f aca="false">IF(A265="","",TEXT(B265,"mmm-yyyy"))</f>
        <v/>
      </c>
    </row>
    <row r="266" customFormat="false" ht="15" hidden="false" customHeight="true" outlineLevel="0" collapsed="false">
      <c r="A266" s="24"/>
      <c r="B266" s="39"/>
      <c r="C266" s="24"/>
      <c r="D266" s="24"/>
      <c r="E266" s="40"/>
      <c r="F266" s="29"/>
      <c r="G266" s="30"/>
      <c r="H266" s="17" t="str">
        <f aca="false">IF(A266="","",A266&amp;"|"&amp;COUNTIF(A$5:A266,A266))</f>
        <v/>
      </c>
      <c r="I266" s="33" t="str">
        <f aca="false">IF(A266="","",IFERROR(INDEX(Items!$B$5:$B$304,MATCH(D266,Items!$A$5:$A$304,0))&amp;"",""))</f>
        <v/>
      </c>
      <c r="J266" s="34" t="str">
        <f aca="false">IF(A266="","",IFERROR(INDEX(Items!$C$5:$C$304,MATCH(D266,Items!$A$5:$A$304,0))&amp;"",""))</f>
        <v/>
      </c>
      <c r="K266" s="35" t="n">
        <f aca="false">IF(A266="",0,IF(ISNUMBER(F266),F266,IFERROR(INDEX(Items!$D$5:$D$304,MATCH(D266,Items!$A$5:$A$304,0)),0)))</f>
        <v>0</v>
      </c>
      <c r="L266" s="35" t="n">
        <f aca="false">ROUND(N(E266)*K266*(1-N(G266)),2)</f>
        <v>0</v>
      </c>
      <c r="M266" s="36" t="n">
        <f aca="false">IF(A266="",0,IFERROR(INDEX(Items!$E$5:$E$304,MATCH(D266,Items!$A$5:$A$304,0)),0))</f>
        <v>0</v>
      </c>
      <c r="N266" s="37" t="str">
        <f aca="false">IF(A266="","",IFERROR(INDEX(Customers!$E$5:$E$204,MATCH(C266,Customers!$A$5:$A$204,0)),"?"))</f>
        <v/>
      </c>
      <c r="O266" s="38" t="str">
        <f aca="false">IF(A266="","",IF(N266=Settings!$B$17,"No","Yes"))</f>
        <v/>
      </c>
      <c r="P266" s="35" t="n">
        <f aca="false">IF(O266="Yes",ROUND(L266*M266,2),0)</f>
        <v>0</v>
      </c>
      <c r="Q266" s="35" t="n">
        <f aca="false">IF(O266="No",ROUND(L266*M266/2,2),0)</f>
        <v>0</v>
      </c>
      <c r="R266" s="35" t="n">
        <f aca="false">Q266</f>
        <v>0</v>
      </c>
      <c r="S266" s="35" t="n">
        <f aca="false">L266+P266+Q266+R266</f>
        <v>0</v>
      </c>
      <c r="T266" s="34" t="str">
        <f aca="false">IF(A266="","",IFERROR(INDEX(Customers!$B$5:$B$204,MATCH(C266,Customers!$A$5:$A$204,0))&amp;"",""))</f>
        <v/>
      </c>
      <c r="U266" s="38" t="str">
        <f aca="false">IF(A266="","",IF(T266&lt;&gt;"","B2B",IF(AND(O266="Yes",SUMIF($A$5:$A$1004,A266,$L$5:$L$1004)+SUMIF($A$5:$A$1004,A266,$P$5:$P$1004)&gt;100000),"B2CL","B2CS")))</f>
        <v/>
      </c>
      <c r="V266" s="17" t="str">
        <f aca="false">IF(A266="","",TEXT(B266,"mmm-yyyy"))</f>
        <v/>
      </c>
    </row>
    <row r="267" customFormat="false" ht="15" hidden="false" customHeight="true" outlineLevel="0" collapsed="false">
      <c r="A267" s="24"/>
      <c r="B267" s="39"/>
      <c r="C267" s="24"/>
      <c r="D267" s="24"/>
      <c r="E267" s="40"/>
      <c r="F267" s="29"/>
      <c r="G267" s="30"/>
      <c r="H267" s="17" t="str">
        <f aca="false">IF(A267="","",A267&amp;"|"&amp;COUNTIF(A$5:A267,A267))</f>
        <v/>
      </c>
      <c r="I267" s="33" t="str">
        <f aca="false">IF(A267="","",IFERROR(INDEX(Items!$B$5:$B$304,MATCH(D267,Items!$A$5:$A$304,0))&amp;"",""))</f>
        <v/>
      </c>
      <c r="J267" s="34" t="str">
        <f aca="false">IF(A267="","",IFERROR(INDEX(Items!$C$5:$C$304,MATCH(D267,Items!$A$5:$A$304,0))&amp;"",""))</f>
        <v/>
      </c>
      <c r="K267" s="35" t="n">
        <f aca="false">IF(A267="",0,IF(ISNUMBER(F267),F267,IFERROR(INDEX(Items!$D$5:$D$304,MATCH(D267,Items!$A$5:$A$304,0)),0)))</f>
        <v>0</v>
      </c>
      <c r="L267" s="35" t="n">
        <f aca="false">ROUND(N(E267)*K267*(1-N(G267)),2)</f>
        <v>0</v>
      </c>
      <c r="M267" s="36" t="n">
        <f aca="false">IF(A267="",0,IFERROR(INDEX(Items!$E$5:$E$304,MATCH(D267,Items!$A$5:$A$304,0)),0))</f>
        <v>0</v>
      </c>
      <c r="N267" s="37" t="str">
        <f aca="false">IF(A267="","",IFERROR(INDEX(Customers!$E$5:$E$204,MATCH(C267,Customers!$A$5:$A$204,0)),"?"))</f>
        <v/>
      </c>
      <c r="O267" s="38" t="str">
        <f aca="false">IF(A267="","",IF(N267=Settings!$B$17,"No","Yes"))</f>
        <v/>
      </c>
      <c r="P267" s="35" t="n">
        <f aca="false">IF(O267="Yes",ROUND(L267*M267,2),0)</f>
        <v>0</v>
      </c>
      <c r="Q267" s="35" t="n">
        <f aca="false">IF(O267="No",ROUND(L267*M267/2,2),0)</f>
        <v>0</v>
      </c>
      <c r="R267" s="35" t="n">
        <f aca="false">Q267</f>
        <v>0</v>
      </c>
      <c r="S267" s="35" t="n">
        <f aca="false">L267+P267+Q267+R267</f>
        <v>0</v>
      </c>
      <c r="T267" s="34" t="str">
        <f aca="false">IF(A267="","",IFERROR(INDEX(Customers!$B$5:$B$204,MATCH(C267,Customers!$A$5:$A$204,0))&amp;"",""))</f>
        <v/>
      </c>
      <c r="U267" s="38" t="str">
        <f aca="false">IF(A267="","",IF(T267&lt;&gt;"","B2B",IF(AND(O267="Yes",SUMIF($A$5:$A$1004,A267,$L$5:$L$1004)+SUMIF($A$5:$A$1004,A267,$P$5:$P$1004)&gt;100000),"B2CL","B2CS")))</f>
        <v/>
      </c>
      <c r="V267" s="17" t="str">
        <f aca="false">IF(A267="","",TEXT(B267,"mmm-yyyy"))</f>
        <v/>
      </c>
    </row>
    <row r="268" customFormat="false" ht="15" hidden="false" customHeight="true" outlineLevel="0" collapsed="false">
      <c r="A268" s="24"/>
      <c r="B268" s="39"/>
      <c r="C268" s="24"/>
      <c r="D268" s="24"/>
      <c r="E268" s="40"/>
      <c r="F268" s="29"/>
      <c r="G268" s="30"/>
      <c r="H268" s="17" t="str">
        <f aca="false">IF(A268="","",A268&amp;"|"&amp;COUNTIF(A$5:A268,A268))</f>
        <v/>
      </c>
      <c r="I268" s="33" t="str">
        <f aca="false">IF(A268="","",IFERROR(INDEX(Items!$B$5:$B$304,MATCH(D268,Items!$A$5:$A$304,0))&amp;"",""))</f>
        <v/>
      </c>
      <c r="J268" s="34" t="str">
        <f aca="false">IF(A268="","",IFERROR(INDEX(Items!$C$5:$C$304,MATCH(D268,Items!$A$5:$A$304,0))&amp;"",""))</f>
        <v/>
      </c>
      <c r="K268" s="35" t="n">
        <f aca="false">IF(A268="",0,IF(ISNUMBER(F268),F268,IFERROR(INDEX(Items!$D$5:$D$304,MATCH(D268,Items!$A$5:$A$304,0)),0)))</f>
        <v>0</v>
      </c>
      <c r="L268" s="35" t="n">
        <f aca="false">ROUND(N(E268)*K268*(1-N(G268)),2)</f>
        <v>0</v>
      </c>
      <c r="M268" s="36" t="n">
        <f aca="false">IF(A268="",0,IFERROR(INDEX(Items!$E$5:$E$304,MATCH(D268,Items!$A$5:$A$304,0)),0))</f>
        <v>0</v>
      </c>
      <c r="N268" s="37" t="str">
        <f aca="false">IF(A268="","",IFERROR(INDEX(Customers!$E$5:$E$204,MATCH(C268,Customers!$A$5:$A$204,0)),"?"))</f>
        <v/>
      </c>
      <c r="O268" s="38" t="str">
        <f aca="false">IF(A268="","",IF(N268=Settings!$B$17,"No","Yes"))</f>
        <v/>
      </c>
      <c r="P268" s="35" t="n">
        <f aca="false">IF(O268="Yes",ROUND(L268*M268,2),0)</f>
        <v>0</v>
      </c>
      <c r="Q268" s="35" t="n">
        <f aca="false">IF(O268="No",ROUND(L268*M268/2,2),0)</f>
        <v>0</v>
      </c>
      <c r="R268" s="35" t="n">
        <f aca="false">Q268</f>
        <v>0</v>
      </c>
      <c r="S268" s="35" t="n">
        <f aca="false">L268+P268+Q268+R268</f>
        <v>0</v>
      </c>
      <c r="T268" s="34" t="str">
        <f aca="false">IF(A268="","",IFERROR(INDEX(Customers!$B$5:$B$204,MATCH(C268,Customers!$A$5:$A$204,0))&amp;"",""))</f>
        <v/>
      </c>
      <c r="U268" s="38" t="str">
        <f aca="false">IF(A268="","",IF(T268&lt;&gt;"","B2B",IF(AND(O268="Yes",SUMIF($A$5:$A$1004,A268,$L$5:$L$1004)+SUMIF($A$5:$A$1004,A268,$P$5:$P$1004)&gt;100000),"B2CL","B2CS")))</f>
        <v/>
      </c>
      <c r="V268" s="17" t="str">
        <f aca="false">IF(A268="","",TEXT(B268,"mmm-yyyy"))</f>
        <v/>
      </c>
    </row>
    <row r="269" customFormat="false" ht="15" hidden="false" customHeight="true" outlineLevel="0" collapsed="false">
      <c r="A269" s="24"/>
      <c r="B269" s="39"/>
      <c r="C269" s="24"/>
      <c r="D269" s="24"/>
      <c r="E269" s="40"/>
      <c r="F269" s="29"/>
      <c r="G269" s="30"/>
      <c r="H269" s="17" t="str">
        <f aca="false">IF(A269="","",A269&amp;"|"&amp;COUNTIF(A$5:A269,A269))</f>
        <v/>
      </c>
      <c r="I269" s="33" t="str">
        <f aca="false">IF(A269="","",IFERROR(INDEX(Items!$B$5:$B$304,MATCH(D269,Items!$A$5:$A$304,0))&amp;"",""))</f>
        <v/>
      </c>
      <c r="J269" s="34" t="str">
        <f aca="false">IF(A269="","",IFERROR(INDEX(Items!$C$5:$C$304,MATCH(D269,Items!$A$5:$A$304,0))&amp;"",""))</f>
        <v/>
      </c>
      <c r="K269" s="35" t="n">
        <f aca="false">IF(A269="",0,IF(ISNUMBER(F269),F269,IFERROR(INDEX(Items!$D$5:$D$304,MATCH(D269,Items!$A$5:$A$304,0)),0)))</f>
        <v>0</v>
      </c>
      <c r="L269" s="35" t="n">
        <f aca="false">ROUND(N(E269)*K269*(1-N(G269)),2)</f>
        <v>0</v>
      </c>
      <c r="M269" s="36" t="n">
        <f aca="false">IF(A269="",0,IFERROR(INDEX(Items!$E$5:$E$304,MATCH(D269,Items!$A$5:$A$304,0)),0))</f>
        <v>0</v>
      </c>
      <c r="N269" s="37" t="str">
        <f aca="false">IF(A269="","",IFERROR(INDEX(Customers!$E$5:$E$204,MATCH(C269,Customers!$A$5:$A$204,0)),"?"))</f>
        <v/>
      </c>
      <c r="O269" s="38" t="str">
        <f aca="false">IF(A269="","",IF(N269=Settings!$B$17,"No","Yes"))</f>
        <v/>
      </c>
      <c r="P269" s="35" t="n">
        <f aca="false">IF(O269="Yes",ROUND(L269*M269,2),0)</f>
        <v>0</v>
      </c>
      <c r="Q269" s="35" t="n">
        <f aca="false">IF(O269="No",ROUND(L269*M269/2,2),0)</f>
        <v>0</v>
      </c>
      <c r="R269" s="35" t="n">
        <f aca="false">Q269</f>
        <v>0</v>
      </c>
      <c r="S269" s="35" t="n">
        <f aca="false">L269+P269+Q269+R269</f>
        <v>0</v>
      </c>
      <c r="T269" s="34" t="str">
        <f aca="false">IF(A269="","",IFERROR(INDEX(Customers!$B$5:$B$204,MATCH(C269,Customers!$A$5:$A$204,0))&amp;"",""))</f>
        <v/>
      </c>
      <c r="U269" s="38" t="str">
        <f aca="false">IF(A269="","",IF(T269&lt;&gt;"","B2B",IF(AND(O269="Yes",SUMIF($A$5:$A$1004,A269,$L$5:$L$1004)+SUMIF($A$5:$A$1004,A269,$P$5:$P$1004)&gt;100000),"B2CL","B2CS")))</f>
        <v/>
      </c>
      <c r="V269" s="17" t="str">
        <f aca="false">IF(A269="","",TEXT(B269,"mmm-yyyy"))</f>
        <v/>
      </c>
    </row>
    <row r="270" customFormat="false" ht="15" hidden="false" customHeight="true" outlineLevel="0" collapsed="false">
      <c r="A270" s="24"/>
      <c r="B270" s="39"/>
      <c r="C270" s="24"/>
      <c r="D270" s="24"/>
      <c r="E270" s="40"/>
      <c r="F270" s="29"/>
      <c r="G270" s="30"/>
      <c r="H270" s="17" t="str">
        <f aca="false">IF(A270="","",A270&amp;"|"&amp;COUNTIF(A$5:A270,A270))</f>
        <v/>
      </c>
      <c r="I270" s="33" t="str">
        <f aca="false">IF(A270="","",IFERROR(INDEX(Items!$B$5:$B$304,MATCH(D270,Items!$A$5:$A$304,0))&amp;"",""))</f>
        <v/>
      </c>
      <c r="J270" s="34" t="str">
        <f aca="false">IF(A270="","",IFERROR(INDEX(Items!$C$5:$C$304,MATCH(D270,Items!$A$5:$A$304,0))&amp;"",""))</f>
        <v/>
      </c>
      <c r="K270" s="35" t="n">
        <f aca="false">IF(A270="",0,IF(ISNUMBER(F270),F270,IFERROR(INDEX(Items!$D$5:$D$304,MATCH(D270,Items!$A$5:$A$304,0)),0)))</f>
        <v>0</v>
      </c>
      <c r="L270" s="35" t="n">
        <f aca="false">ROUND(N(E270)*K270*(1-N(G270)),2)</f>
        <v>0</v>
      </c>
      <c r="M270" s="36" t="n">
        <f aca="false">IF(A270="",0,IFERROR(INDEX(Items!$E$5:$E$304,MATCH(D270,Items!$A$5:$A$304,0)),0))</f>
        <v>0</v>
      </c>
      <c r="N270" s="37" t="str">
        <f aca="false">IF(A270="","",IFERROR(INDEX(Customers!$E$5:$E$204,MATCH(C270,Customers!$A$5:$A$204,0)),"?"))</f>
        <v/>
      </c>
      <c r="O270" s="38" t="str">
        <f aca="false">IF(A270="","",IF(N270=Settings!$B$17,"No","Yes"))</f>
        <v/>
      </c>
      <c r="P270" s="35" t="n">
        <f aca="false">IF(O270="Yes",ROUND(L270*M270,2),0)</f>
        <v>0</v>
      </c>
      <c r="Q270" s="35" t="n">
        <f aca="false">IF(O270="No",ROUND(L270*M270/2,2),0)</f>
        <v>0</v>
      </c>
      <c r="R270" s="35" t="n">
        <f aca="false">Q270</f>
        <v>0</v>
      </c>
      <c r="S270" s="35" t="n">
        <f aca="false">L270+P270+Q270+R270</f>
        <v>0</v>
      </c>
      <c r="T270" s="34" t="str">
        <f aca="false">IF(A270="","",IFERROR(INDEX(Customers!$B$5:$B$204,MATCH(C270,Customers!$A$5:$A$204,0))&amp;"",""))</f>
        <v/>
      </c>
      <c r="U270" s="38" t="str">
        <f aca="false">IF(A270="","",IF(T270&lt;&gt;"","B2B",IF(AND(O270="Yes",SUMIF($A$5:$A$1004,A270,$L$5:$L$1004)+SUMIF($A$5:$A$1004,A270,$P$5:$P$1004)&gt;100000),"B2CL","B2CS")))</f>
        <v/>
      </c>
      <c r="V270" s="17" t="str">
        <f aca="false">IF(A270="","",TEXT(B270,"mmm-yyyy"))</f>
        <v/>
      </c>
    </row>
    <row r="271" customFormat="false" ht="15" hidden="false" customHeight="true" outlineLevel="0" collapsed="false">
      <c r="A271" s="24"/>
      <c r="B271" s="39"/>
      <c r="C271" s="24"/>
      <c r="D271" s="24"/>
      <c r="E271" s="40"/>
      <c r="F271" s="29"/>
      <c r="G271" s="30"/>
      <c r="H271" s="17" t="str">
        <f aca="false">IF(A271="","",A271&amp;"|"&amp;COUNTIF(A$5:A271,A271))</f>
        <v/>
      </c>
      <c r="I271" s="33" t="str">
        <f aca="false">IF(A271="","",IFERROR(INDEX(Items!$B$5:$B$304,MATCH(D271,Items!$A$5:$A$304,0))&amp;"",""))</f>
        <v/>
      </c>
      <c r="J271" s="34" t="str">
        <f aca="false">IF(A271="","",IFERROR(INDEX(Items!$C$5:$C$304,MATCH(D271,Items!$A$5:$A$304,0))&amp;"",""))</f>
        <v/>
      </c>
      <c r="K271" s="35" t="n">
        <f aca="false">IF(A271="",0,IF(ISNUMBER(F271),F271,IFERROR(INDEX(Items!$D$5:$D$304,MATCH(D271,Items!$A$5:$A$304,0)),0)))</f>
        <v>0</v>
      </c>
      <c r="L271" s="35" t="n">
        <f aca="false">ROUND(N(E271)*K271*(1-N(G271)),2)</f>
        <v>0</v>
      </c>
      <c r="M271" s="36" t="n">
        <f aca="false">IF(A271="",0,IFERROR(INDEX(Items!$E$5:$E$304,MATCH(D271,Items!$A$5:$A$304,0)),0))</f>
        <v>0</v>
      </c>
      <c r="N271" s="37" t="str">
        <f aca="false">IF(A271="","",IFERROR(INDEX(Customers!$E$5:$E$204,MATCH(C271,Customers!$A$5:$A$204,0)),"?"))</f>
        <v/>
      </c>
      <c r="O271" s="38" t="str">
        <f aca="false">IF(A271="","",IF(N271=Settings!$B$17,"No","Yes"))</f>
        <v/>
      </c>
      <c r="P271" s="35" t="n">
        <f aca="false">IF(O271="Yes",ROUND(L271*M271,2),0)</f>
        <v>0</v>
      </c>
      <c r="Q271" s="35" t="n">
        <f aca="false">IF(O271="No",ROUND(L271*M271/2,2),0)</f>
        <v>0</v>
      </c>
      <c r="R271" s="35" t="n">
        <f aca="false">Q271</f>
        <v>0</v>
      </c>
      <c r="S271" s="35" t="n">
        <f aca="false">L271+P271+Q271+R271</f>
        <v>0</v>
      </c>
      <c r="T271" s="34" t="str">
        <f aca="false">IF(A271="","",IFERROR(INDEX(Customers!$B$5:$B$204,MATCH(C271,Customers!$A$5:$A$204,0))&amp;"",""))</f>
        <v/>
      </c>
      <c r="U271" s="38" t="str">
        <f aca="false">IF(A271="","",IF(T271&lt;&gt;"","B2B",IF(AND(O271="Yes",SUMIF($A$5:$A$1004,A271,$L$5:$L$1004)+SUMIF($A$5:$A$1004,A271,$P$5:$P$1004)&gt;100000),"B2CL","B2CS")))</f>
        <v/>
      </c>
      <c r="V271" s="17" t="str">
        <f aca="false">IF(A271="","",TEXT(B271,"mmm-yyyy"))</f>
        <v/>
      </c>
    </row>
    <row r="272" customFormat="false" ht="15" hidden="false" customHeight="true" outlineLevel="0" collapsed="false">
      <c r="A272" s="24"/>
      <c r="B272" s="39"/>
      <c r="C272" s="24"/>
      <c r="D272" s="24"/>
      <c r="E272" s="40"/>
      <c r="F272" s="29"/>
      <c r="G272" s="30"/>
      <c r="H272" s="17" t="str">
        <f aca="false">IF(A272="","",A272&amp;"|"&amp;COUNTIF(A$5:A272,A272))</f>
        <v/>
      </c>
      <c r="I272" s="33" t="str">
        <f aca="false">IF(A272="","",IFERROR(INDEX(Items!$B$5:$B$304,MATCH(D272,Items!$A$5:$A$304,0))&amp;"",""))</f>
        <v/>
      </c>
      <c r="J272" s="34" t="str">
        <f aca="false">IF(A272="","",IFERROR(INDEX(Items!$C$5:$C$304,MATCH(D272,Items!$A$5:$A$304,0))&amp;"",""))</f>
        <v/>
      </c>
      <c r="K272" s="35" t="n">
        <f aca="false">IF(A272="",0,IF(ISNUMBER(F272),F272,IFERROR(INDEX(Items!$D$5:$D$304,MATCH(D272,Items!$A$5:$A$304,0)),0)))</f>
        <v>0</v>
      </c>
      <c r="L272" s="35" t="n">
        <f aca="false">ROUND(N(E272)*K272*(1-N(G272)),2)</f>
        <v>0</v>
      </c>
      <c r="M272" s="36" t="n">
        <f aca="false">IF(A272="",0,IFERROR(INDEX(Items!$E$5:$E$304,MATCH(D272,Items!$A$5:$A$304,0)),0))</f>
        <v>0</v>
      </c>
      <c r="N272" s="37" t="str">
        <f aca="false">IF(A272="","",IFERROR(INDEX(Customers!$E$5:$E$204,MATCH(C272,Customers!$A$5:$A$204,0)),"?"))</f>
        <v/>
      </c>
      <c r="O272" s="38" t="str">
        <f aca="false">IF(A272="","",IF(N272=Settings!$B$17,"No","Yes"))</f>
        <v/>
      </c>
      <c r="P272" s="35" t="n">
        <f aca="false">IF(O272="Yes",ROUND(L272*M272,2),0)</f>
        <v>0</v>
      </c>
      <c r="Q272" s="35" t="n">
        <f aca="false">IF(O272="No",ROUND(L272*M272/2,2),0)</f>
        <v>0</v>
      </c>
      <c r="R272" s="35" t="n">
        <f aca="false">Q272</f>
        <v>0</v>
      </c>
      <c r="S272" s="35" t="n">
        <f aca="false">L272+P272+Q272+R272</f>
        <v>0</v>
      </c>
      <c r="T272" s="34" t="str">
        <f aca="false">IF(A272="","",IFERROR(INDEX(Customers!$B$5:$B$204,MATCH(C272,Customers!$A$5:$A$204,0))&amp;"",""))</f>
        <v/>
      </c>
      <c r="U272" s="38" t="str">
        <f aca="false">IF(A272="","",IF(T272&lt;&gt;"","B2B",IF(AND(O272="Yes",SUMIF($A$5:$A$1004,A272,$L$5:$L$1004)+SUMIF($A$5:$A$1004,A272,$P$5:$P$1004)&gt;100000),"B2CL","B2CS")))</f>
        <v/>
      </c>
      <c r="V272" s="17" t="str">
        <f aca="false">IF(A272="","",TEXT(B272,"mmm-yyyy"))</f>
        <v/>
      </c>
    </row>
    <row r="273" customFormat="false" ht="15" hidden="false" customHeight="true" outlineLevel="0" collapsed="false">
      <c r="A273" s="24"/>
      <c r="B273" s="39"/>
      <c r="C273" s="24"/>
      <c r="D273" s="24"/>
      <c r="E273" s="40"/>
      <c r="F273" s="29"/>
      <c r="G273" s="30"/>
      <c r="H273" s="17" t="str">
        <f aca="false">IF(A273="","",A273&amp;"|"&amp;COUNTIF(A$5:A273,A273))</f>
        <v/>
      </c>
      <c r="I273" s="33" t="str">
        <f aca="false">IF(A273="","",IFERROR(INDEX(Items!$B$5:$B$304,MATCH(D273,Items!$A$5:$A$304,0))&amp;"",""))</f>
        <v/>
      </c>
      <c r="J273" s="34" t="str">
        <f aca="false">IF(A273="","",IFERROR(INDEX(Items!$C$5:$C$304,MATCH(D273,Items!$A$5:$A$304,0))&amp;"",""))</f>
        <v/>
      </c>
      <c r="K273" s="35" t="n">
        <f aca="false">IF(A273="",0,IF(ISNUMBER(F273),F273,IFERROR(INDEX(Items!$D$5:$D$304,MATCH(D273,Items!$A$5:$A$304,0)),0)))</f>
        <v>0</v>
      </c>
      <c r="L273" s="35" t="n">
        <f aca="false">ROUND(N(E273)*K273*(1-N(G273)),2)</f>
        <v>0</v>
      </c>
      <c r="M273" s="36" t="n">
        <f aca="false">IF(A273="",0,IFERROR(INDEX(Items!$E$5:$E$304,MATCH(D273,Items!$A$5:$A$304,0)),0))</f>
        <v>0</v>
      </c>
      <c r="N273" s="37" t="str">
        <f aca="false">IF(A273="","",IFERROR(INDEX(Customers!$E$5:$E$204,MATCH(C273,Customers!$A$5:$A$204,0)),"?"))</f>
        <v/>
      </c>
      <c r="O273" s="38" t="str">
        <f aca="false">IF(A273="","",IF(N273=Settings!$B$17,"No","Yes"))</f>
        <v/>
      </c>
      <c r="P273" s="35" t="n">
        <f aca="false">IF(O273="Yes",ROUND(L273*M273,2),0)</f>
        <v>0</v>
      </c>
      <c r="Q273" s="35" t="n">
        <f aca="false">IF(O273="No",ROUND(L273*M273/2,2),0)</f>
        <v>0</v>
      </c>
      <c r="R273" s="35" t="n">
        <f aca="false">Q273</f>
        <v>0</v>
      </c>
      <c r="S273" s="35" t="n">
        <f aca="false">L273+P273+Q273+R273</f>
        <v>0</v>
      </c>
      <c r="T273" s="34" t="str">
        <f aca="false">IF(A273="","",IFERROR(INDEX(Customers!$B$5:$B$204,MATCH(C273,Customers!$A$5:$A$204,0))&amp;"",""))</f>
        <v/>
      </c>
      <c r="U273" s="38" t="str">
        <f aca="false">IF(A273="","",IF(T273&lt;&gt;"","B2B",IF(AND(O273="Yes",SUMIF($A$5:$A$1004,A273,$L$5:$L$1004)+SUMIF($A$5:$A$1004,A273,$P$5:$P$1004)&gt;100000),"B2CL","B2CS")))</f>
        <v/>
      </c>
      <c r="V273" s="17" t="str">
        <f aca="false">IF(A273="","",TEXT(B273,"mmm-yyyy"))</f>
        <v/>
      </c>
    </row>
    <row r="274" customFormat="false" ht="15" hidden="false" customHeight="true" outlineLevel="0" collapsed="false">
      <c r="A274" s="24"/>
      <c r="B274" s="39"/>
      <c r="C274" s="24"/>
      <c r="D274" s="24"/>
      <c r="E274" s="40"/>
      <c r="F274" s="29"/>
      <c r="G274" s="30"/>
      <c r="H274" s="17" t="str">
        <f aca="false">IF(A274="","",A274&amp;"|"&amp;COUNTIF(A$5:A274,A274))</f>
        <v/>
      </c>
      <c r="I274" s="33" t="str">
        <f aca="false">IF(A274="","",IFERROR(INDEX(Items!$B$5:$B$304,MATCH(D274,Items!$A$5:$A$304,0))&amp;"",""))</f>
        <v/>
      </c>
      <c r="J274" s="34" t="str">
        <f aca="false">IF(A274="","",IFERROR(INDEX(Items!$C$5:$C$304,MATCH(D274,Items!$A$5:$A$304,0))&amp;"",""))</f>
        <v/>
      </c>
      <c r="K274" s="35" t="n">
        <f aca="false">IF(A274="",0,IF(ISNUMBER(F274),F274,IFERROR(INDEX(Items!$D$5:$D$304,MATCH(D274,Items!$A$5:$A$304,0)),0)))</f>
        <v>0</v>
      </c>
      <c r="L274" s="35" t="n">
        <f aca="false">ROUND(N(E274)*K274*(1-N(G274)),2)</f>
        <v>0</v>
      </c>
      <c r="M274" s="36" t="n">
        <f aca="false">IF(A274="",0,IFERROR(INDEX(Items!$E$5:$E$304,MATCH(D274,Items!$A$5:$A$304,0)),0))</f>
        <v>0</v>
      </c>
      <c r="N274" s="37" t="str">
        <f aca="false">IF(A274="","",IFERROR(INDEX(Customers!$E$5:$E$204,MATCH(C274,Customers!$A$5:$A$204,0)),"?"))</f>
        <v/>
      </c>
      <c r="O274" s="38" t="str">
        <f aca="false">IF(A274="","",IF(N274=Settings!$B$17,"No","Yes"))</f>
        <v/>
      </c>
      <c r="P274" s="35" t="n">
        <f aca="false">IF(O274="Yes",ROUND(L274*M274,2),0)</f>
        <v>0</v>
      </c>
      <c r="Q274" s="35" t="n">
        <f aca="false">IF(O274="No",ROUND(L274*M274/2,2),0)</f>
        <v>0</v>
      </c>
      <c r="R274" s="35" t="n">
        <f aca="false">Q274</f>
        <v>0</v>
      </c>
      <c r="S274" s="35" t="n">
        <f aca="false">L274+P274+Q274+R274</f>
        <v>0</v>
      </c>
      <c r="T274" s="34" t="str">
        <f aca="false">IF(A274="","",IFERROR(INDEX(Customers!$B$5:$B$204,MATCH(C274,Customers!$A$5:$A$204,0))&amp;"",""))</f>
        <v/>
      </c>
      <c r="U274" s="38" t="str">
        <f aca="false">IF(A274="","",IF(T274&lt;&gt;"","B2B",IF(AND(O274="Yes",SUMIF($A$5:$A$1004,A274,$L$5:$L$1004)+SUMIF($A$5:$A$1004,A274,$P$5:$P$1004)&gt;100000),"B2CL","B2CS")))</f>
        <v/>
      </c>
      <c r="V274" s="17" t="str">
        <f aca="false">IF(A274="","",TEXT(B274,"mmm-yyyy"))</f>
        <v/>
      </c>
    </row>
    <row r="275" customFormat="false" ht="15" hidden="false" customHeight="true" outlineLevel="0" collapsed="false">
      <c r="A275" s="24"/>
      <c r="B275" s="39"/>
      <c r="C275" s="24"/>
      <c r="D275" s="24"/>
      <c r="E275" s="40"/>
      <c r="F275" s="29"/>
      <c r="G275" s="30"/>
      <c r="H275" s="17" t="str">
        <f aca="false">IF(A275="","",A275&amp;"|"&amp;COUNTIF(A$5:A275,A275))</f>
        <v/>
      </c>
      <c r="I275" s="33" t="str">
        <f aca="false">IF(A275="","",IFERROR(INDEX(Items!$B$5:$B$304,MATCH(D275,Items!$A$5:$A$304,0))&amp;"",""))</f>
        <v/>
      </c>
      <c r="J275" s="34" t="str">
        <f aca="false">IF(A275="","",IFERROR(INDEX(Items!$C$5:$C$304,MATCH(D275,Items!$A$5:$A$304,0))&amp;"",""))</f>
        <v/>
      </c>
      <c r="K275" s="35" t="n">
        <f aca="false">IF(A275="",0,IF(ISNUMBER(F275),F275,IFERROR(INDEX(Items!$D$5:$D$304,MATCH(D275,Items!$A$5:$A$304,0)),0)))</f>
        <v>0</v>
      </c>
      <c r="L275" s="35" t="n">
        <f aca="false">ROUND(N(E275)*K275*(1-N(G275)),2)</f>
        <v>0</v>
      </c>
      <c r="M275" s="36" t="n">
        <f aca="false">IF(A275="",0,IFERROR(INDEX(Items!$E$5:$E$304,MATCH(D275,Items!$A$5:$A$304,0)),0))</f>
        <v>0</v>
      </c>
      <c r="N275" s="37" t="str">
        <f aca="false">IF(A275="","",IFERROR(INDEX(Customers!$E$5:$E$204,MATCH(C275,Customers!$A$5:$A$204,0)),"?"))</f>
        <v/>
      </c>
      <c r="O275" s="38" t="str">
        <f aca="false">IF(A275="","",IF(N275=Settings!$B$17,"No","Yes"))</f>
        <v/>
      </c>
      <c r="P275" s="35" t="n">
        <f aca="false">IF(O275="Yes",ROUND(L275*M275,2),0)</f>
        <v>0</v>
      </c>
      <c r="Q275" s="35" t="n">
        <f aca="false">IF(O275="No",ROUND(L275*M275/2,2),0)</f>
        <v>0</v>
      </c>
      <c r="R275" s="35" t="n">
        <f aca="false">Q275</f>
        <v>0</v>
      </c>
      <c r="S275" s="35" t="n">
        <f aca="false">L275+P275+Q275+R275</f>
        <v>0</v>
      </c>
      <c r="T275" s="34" t="str">
        <f aca="false">IF(A275="","",IFERROR(INDEX(Customers!$B$5:$B$204,MATCH(C275,Customers!$A$5:$A$204,0))&amp;"",""))</f>
        <v/>
      </c>
      <c r="U275" s="38" t="str">
        <f aca="false">IF(A275="","",IF(T275&lt;&gt;"","B2B",IF(AND(O275="Yes",SUMIF($A$5:$A$1004,A275,$L$5:$L$1004)+SUMIF($A$5:$A$1004,A275,$P$5:$P$1004)&gt;100000),"B2CL","B2CS")))</f>
        <v/>
      </c>
      <c r="V275" s="17" t="str">
        <f aca="false">IF(A275="","",TEXT(B275,"mmm-yyyy"))</f>
        <v/>
      </c>
    </row>
    <row r="276" customFormat="false" ht="15" hidden="false" customHeight="true" outlineLevel="0" collapsed="false">
      <c r="A276" s="24"/>
      <c r="B276" s="39"/>
      <c r="C276" s="24"/>
      <c r="D276" s="24"/>
      <c r="E276" s="40"/>
      <c r="F276" s="29"/>
      <c r="G276" s="30"/>
      <c r="H276" s="17" t="str">
        <f aca="false">IF(A276="","",A276&amp;"|"&amp;COUNTIF(A$5:A276,A276))</f>
        <v/>
      </c>
      <c r="I276" s="33" t="str">
        <f aca="false">IF(A276="","",IFERROR(INDEX(Items!$B$5:$B$304,MATCH(D276,Items!$A$5:$A$304,0))&amp;"",""))</f>
        <v/>
      </c>
      <c r="J276" s="34" t="str">
        <f aca="false">IF(A276="","",IFERROR(INDEX(Items!$C$5:$C$304,MATCH(D276,Items!$A$5:$A$304,0))&amp;"",""))</f>
        <v/>
      </c>
      <c r="K276" s="35" t="n">
        <f aca="false">IF(A276="",0,IF(ISNUMBER(F276),F276,IFERROR(INDEX(Items!$D$5:$D$304,MATCH(D276,Items!$A$5:$A$304,0)),0)))</f>
        <v>0</v>
      </c>
      <c r="L276" s="35" t="n">
        <f aca="false">ROUND(N(E276)*K276*(1-N(G276)),2)</f>
        <v>0</v>
      </c>
      <c r="M276" s="36" t="n">
        <f aca="false">IF(A276="",0,IFERROR(INDEX(Items!$E$5:$E$304,MATCH(D276,Items!$A$5:$A$304,0)),0))</f>
        <v>0</v>
      </c>
      <c r="N276" s="37" t="str">
        <f aca="false">IF(A276="","",IFERROR(INDEX(Customers!$E$5:$E$204,MATCH(C276,Customers!$A$5:$A$204,0)),"?"))</f>
        <v/>
      </c>
      <c r="O276" s="38" t="str">
        <f aca="false">IF(A276="","",IF(N276=Settings!$B$17,"No","Yes"))</f>
        <v/>
      </c>
      <c r="P276" s="35" t="n">
        <f aca="false">IF(O276="Yes",ROUND(L276*M276,2),0)</f>
        <v>0</v>
      </c>
      <c r="Q276" s="35" t="n">
        <f aca="false">IF(O276="No",ROUND(L276*M276/2,2),0)</f>
        <v>0</v>
      </c>
      <c r="R276" s="35" t="n">
        <f aca="false">Q276</f>
        <v>0</v>
      </c>
      <c r="S276" s="35" t="n">
        <f aca="false">L276+P276+Q276+R276</f>
        <v>0</v>
      </c>
      <c r="T276" s="34" t="str">
        <f aca="false">IF(A276="","",IFERROR(INDEX(Customers!$B$5:$B$204,MATCH(C276,Customers!$A$5:$A$204,0))&amp;"",""))</f>
        <v/>
      </c>
      <c r="U276" s="38" t="str">
        <f aca="false">IF(A276="","",IF(T276&lt;&gt;"","B2B",IF(AND(O276="Yes",SUMIF($A$5:$A$1004,A276,$L$5:$L$1004)+SUMIF($A$5:$A$1004,A276,$P$5:$P$1004)&gt;100000),"B2CL","B2CS")))</f>
        <v/>
      </c>
      <c r="V276" s="17" t="str">
        <f aca="false">IF(A276="","",TEXT(B276,"mmm-yyyy"))</f>
        <v/>
      </c>
    </row>
    <row r="277" customFormat="false" ht="15" hidden="false" customHeight="true" outlineLevel="0" collapsed="false">
      <c r="A277" s="24"/>
      <c r="B277" s="39"/>
      <c r="C277" s="24"/>
      <c r="D277" s="24"/>
      <c r="E277" s="40"/>
      <c r="F277" s="29"/>
      <c r="G277" s="30"/>
      <c r="H277" s="17" t="str">
        <f aca="false">IF(A277="","",A277&amp;"|"&amp;COUNTIF(A$5:A277,A277))</f>
        <v/>
      </c>
      <c r="I277" s="33" t="str">
        <f aca="false">IF(A277="","",IFERROR(INDEX(Items!$B$5:$B$304,MATCH(D277,Items!$A$5:$A$304,0))&amp;"",""))</f>
        <v/>
      </c>
      <c r="J277" s="34" t="str">
        <f aca="false">IF(A277="","",IFERROR(INDEX(Items!$C$5:$C$304,MATCH(D277,Items!$A$5:$A$304,0))&amp;"",""))</f>
        <v/>
      </c>
      <c r="K277" s="35" t="n">
        <f aca="false">IF(A277="",0,IF(ISNUMBER(F277),F277,IFERROR(INDEX(Items!$D$5:$D$304,MATCH(D277,Items!$A$5:$A$304,0)),0)))</f>
        <v>0</v>
      </c>
      <c r="L277" s="35" t="n">
        <f aca="false">ROUND(N(E277)*K277*(1-N(G277)),2)</f>
        <v>0</v>
      </c>
      <c r="M277" s="36" t="n">
        <f aca="false">IF(A277="",0,IFERROR(INDEX(Items!$E$5:$E$304,MATCH(D277,Items!$A$5:$A$304,0)),0))</f>
        <v>0</v>
      </c>
      <c r="N277" s="37" t="str">
        <f aca="false">IF(A277="","",IFERROR(INDEX(Customers!$E$5:$E$204,MATCH(C277,Customers!$A$5:$A$204,0)),"?"))</f>
        <v/>
      </c>
      <c r="O277" s="38" t="str">
        <f aca="false">IF(A277="","",IF(N277=Settings!$B$17,"No","Yes"))</f>
        <v/>
      </c>
      <c r="P277" s="35" t="n">
        <f aca="false">IF(O277="Yes",ROUND(L277*M277,2),0)</f>
        <v>0</v>
      </c>
      <c r="Q277" s="35" t="n">
        <f aca="false">IF(O277="No",ROUND(L277*M277/2,2),0)</f>
        <v>0</v>
      </c>
      <c r="R277" s="35" t="n">
        <f aca="false">Q277</f>
        <v>0</v>
      </c>
      <c r="S277" s="35" t="n">
        <f aca="false">L277+P277+Q277+R277</f>
        <v>0</v>
      </c>
      <c r="T277" s="34" t="str">
        <f aca="false">IF(A277="","",IFERROR(INDEX(Customers!$B$5:$B$204,MATCH(C277,Customers!$A$5:$A$204,0))&amp;"",""))</f>
        <v/>
      </c>
      <c r="U277" s="38" t="str">
        <f aca="false">IF(A277="","",IF(T277&lt;&gt;"","B2B",IF(AND(O277="Yes",SUMIF($A$5:$A$1004,A277,$L$5:$L$1004)+SUMIF($A$5:$A$1004,A277,$P$5:$P$1004)&gt;100000),"B2CL","B2CS")))</f>
        <v/>
      </c>
      <c r="V277" s="17" t="str">
        <f aca="false">IF(A277="","",TEXT(B277,"mmm-yyyy"))</f>
        <v/>
      </c>
    </row>
    <row r="278" customFormat="false" ht="15" hidden="false" customHeight="true" outlineLevel="0" collapsed="false">
      <c r="A278" s="24"/>
      <c r="B278" s="39"/>
      <c r="C278" s="24"/>
      <c r="D278" s="24"/>
      <c r="E278" s="40"/>
      <c r="F278" s="29"/>
      <c r="G278" s="30"/>
      <c r="H278" s="17" t="str">
        <f aca="false">IF(A278="","",A278&amp;"|"&amp;COUNTIF(A$5:A278,A278))</f>
        <v/>
      </c>
      <c r="I278" s="33" t="str">
        <f aca="false">IF(A278="","",IFERROR(INDEX(Items!$B$5:$B$304,MATCH(D278,Items!$A$5:$A$304,0))&amp;"",""))</f>
        <v/>
      </c>
      <c r="J278" s="34" t="str">
        <f aca="false">IF(A278="","",IFERROR(INDEX(Items!$C$5:$C$304,MATCH(D278,Items!$A$5:$A$304,0))&amp;"",""))</f>
        <v/>
      </c>
      <c r="K278" s="35" t="n">
        <f aca="false">IF(A278="",0,IF(ISNUMBER(F278),F278,IFERROR(INDEX(Items!$D$5:$D$304,MATCH(D278,Items!$A$5:$A$304,0)),0)))</f>
        <v>0</v>
      </c>
      <c r="L278" s="35" t="n">
        <f aca="false">ROUND(N(E278)*K278*(1-N(G278)),2)</f>
        <v>0</v>
      </c>
      <c r="M278" s="36" t="n">
        <f aca="false">IF(A278="",0,IFERROR(INDEX(Items!$E$5:$E$304,MATCH(D278,Items!$A$5:$A$304,0)),0))</f>
        <v>0</v>
      </c>
      <c r="N278" s="37" t="str">
        <f aca="false">IF(A278="","",IFERROR(INDEX(Customers!$E$5:$E$204,MATCH(C278,Customers!$A$5:$A$204,0)),"?"))</f>
        <v/>
      </c>
      <c r="O278" s="38" t="str">
        <f aca="false">IF(A278="","",IF(N278=Settings!$B$17,"No","Yes"))</f>
        <v/>
      </c>
      <c r="P278" s="35" t="n">
        <f aca="false">IF(O278="Yes",ROUND(L278*M278,2),0)</f>
        <v>0</v>
      </c>
      <c r="Q278" s="35" t="n">
        <f aca="false">IF(O278="No",ROUND(L278*M278/2,2),0)</f>
        <v>0</v>
      </c>
      <c r="R278" s="35" t="n">
        <f aca="false">Q278</f>
        <v>0</v>
      </c>
      <c r="S278" s="35" t="n">
        <f aca="false">L278+P278+Q278+R278</f>
        <v>0</v>
      </c>
      <c r="T278" s="34" t="str">
        <f aca="false">IF(A278="","",IFERROR(INDEX(Customers!$B$5:$B$204,MATCH(C278,Customers!$A$5:$A$204,0))&amp;"",""))</f>
        <v/>
      </c>
      <c r="U278" s="38" t="str">
        <f aca="false">IF(A278="","",IF(T278&lt;&gt;"","B2B",IF(AND(O278="Yes",SUMIF($A$5:$A$1004,A278,$L$5:$L$1004)+SUMIF($A$5:$A$1004,A278,$P$5:$P$1004)&gt;100000),"B2CL","B2CS")))</f>
        <v/>
      </c>
      <c r="V278" s="17" t="str">
        <f aca="false">IF(A278="","",TEXT(B278,"mmm-yyyy"))</f>
        <v/>
      </c>
    </row>
    <row r="279" customFormat="false" ht="15" hidden="false" customHeight="true" outlineLevel="0" collapsed="false">
      <c r="A279" s="24"/>
      <c r="B279" s="39"/>
      <c r="C279" s="24"/>
      <c r="D279" s="24"/>
      <c r="E279" s="40"/>
      <c r="F279" s="29"/>
      <c r="G279" s="30"/>
      <c r="H279" s="17" t="str">
        <f aca="false">IF(A279="","",A279&amp;"|"&amp;COUNTIF(A$5:A279,A279))</f>
        <v/>
      </c>
      <c r="I279" s="33" t="str">
        <f aca="false">IF(A279="","",IFERROR(INDEX(Items!$B$5:$B$304,MATCH(D279,Items!$A$5:$A$304,0))&amp;"",""))</f>
        <v/>
      </c>
      <c r="J279" s="34" t="str">
        <f aca="false">IF(A279="","",IFERROR(INDEX(Items!$C$5:$C$304,MATCH(D279,Items!$A$5:$A$304,0))&amp;"",""))</f>
        <v/>
      </c>
      <c r="K279" s="35" t="n">
        <f aca="false">IF(A279="",0,IF(ISNUMBER(F279),F279,IFERROR(INDEX(Items!$D$5:$D$304,MATCH(D279,Items!$A$5:$A$304,0)),0)))</f>
        <v>0</v>
      </c>
      <c r="L279" s="35" t="n">
        <f aca="false">ROUND(N(E279)*K279*(1-N(G279)),2)</f>
        <v>0</v>
      </c>
      <c r="M279" s="36" t="n">
        <f aca="false">IF(A279="",0,IFERROR(INDEX(Items!$E$5:$E$304,MATCH(D279,Items!$A$5:$A$304,0)),0))</f>
        <v>0</v>
      </c>
      <c r="N279" s="37" t="str">
        <f aca="false">IF(A279="","",IFERROR(INDEX(Customers!$E$5:$E$204,MATCH(C279,Customers!$A$5:$A$204,0)),"?"))</f>
        <v/>
      </c>
      <c r="O279" s="38" t="str">
        <f aca="false">IF(A279="","",IF(N279=Settings!$B$17,"No","Yes"))</f>
        <v/>
      </c>
      <c r="P279" s="35" t="n">
        <f aca="false">IF(O279="Yes",ROUND(L279*M279,2),0)</f>
        <v>0</v>
      </c>
      <c r="Q279" s="35" t="n">
        <f aca="false">IF(O279="No",ROUND(L279*M279/2,2),0)</f>
        <v>0</v>
      </c>
      <c r="R279" s="35" t="n">
        <f aca="false">Q279</f>
        <v>0</v>
      </c>
      <c r="S279" s="35" t="n">
        <f aca="false">L279+P279+Q279+R279</f>
        <v>0</v>
      </c>
      <c r="T279" s="34" t="str">
        <f aca="false">IF(A279="","",IFERROR(INDEX(Customers!$B$5:$B$204,MATCH(C279,Customers!$A$5:$A$204,0))&amp;"",""))</f>
        <v/>
      </c>
      <c r="U279" s="38" t="str">
        <f aca="false">IF(A279="","",IF(T279&lt;&gt;"","B2B",IF(AND(O279="Yes",SUMIF($A$5:$A$1004,A279,$L$5:$L$1004)+SUMIF($A$5:$A$1004,A279,$P$5:$P$1004)&gt;100000),"B2CL","B2CS")))</f>
        <v/>
      </c>
      <c r="V279" s="17" t="str">
        <f aca="false">IF(A279="","",TEXT(B279,"mmm-yyyy"))</f>
        <v/>
      </c>
    </row>
    <row r="280" customFormat="false" ht="15" hidden="false" customHeight="true" outlineLevel="0" collapsed="false">
      <c r="A280" s="24"/>
      <c r="B280" s="39"/>
      <c r="C280" s="24"/>
      <c r="D280" s="24"/>
      <c r="E280" s="40"/>
      <c r="F280" s="29"/>
      <c r="G280" s="30"/>
      <c r="H280" s="17" t="str">
        <f aca="false">IF(A280="","",A280&amp;"|"&amp;COUNTIF(A$5:A280,A280))</f>
        <v/>
      </c>
      <c r="I280" s="33" t="str">
        <f aca="false">IF(A280="","",IFERROR(INDEX(Items!$B$5:$B$304,MATCH(D280,Items!$A$5:$A$304,0))&amp;"",""))</f>
        <v/>
      </c>
      <c r="J280" s="34" t="str">
        <f aca="false">IF(A280="","",IFERROR(INDEX(Items!$C$5:$C$304,MATCH(D280,Items!$A$5:$A$304,0))&amp;"",""))</f>
        <v/>
      </c>
      <c r="K280" s="35" t="n">
        <f aca="false">IF(A280="",0,IF(ISNUMBER(F280),F280,IFERROR(INDEX(Items!$D$5:$D$304,MATCH(D280,Items!$A$5:$A$304,0)),0)))</f>
        <v>0</v>
      </c>
      <c r="L280" s="35" t="n">
        <f aca="false">ROUND(N(E280)*K280*(1-N(G280)),2)</f>
        <v>0</v>
      </c>
      <c r="M280" s="36" t="n">
        <f aca="false">IF(A280="",0,IFERROR(INDEX(Items!$E$5:$E$304,MATCH(D280,Items!$A$5:$A$304,0)),0))</f>
        <v>0</v>
      </c>
      <c r="N280" s="37" t="str">
        <f aca="false">IF(A280="","",IFERROR(INDEX(Customers!$E$5:$E$204,MATCH(C280,Customers!$A$5:$A$204,0)),"?"))</f>
        <v/>
      </c>
      <c r="O280" s="38" t="str">
        <f aca="false">IF(A280="","",IF(N280=Settings!$B$17,"No","Yes"))</f>
        <v/>
      </c>
      <c r="P280" s="35" t="n">
        <f aca="false">IF(O280="Yes",ROUND(L280*M280,2),0)</f>
        <v>0</v>
      </c>
      <c r="Q280" s="35" t="n">
        <f aca="false">IF(O280="No",ROUND(L280*M280/2,2),0)</f>
        <v>0</v>
      </c>
      <c r="R280" s="35" t="n">
        <f aca="false">Q280</f>
        <v>0</v>
      </c>
      <c r="S280" s="35" t="n">
        <f aca="false">L280+P280+Q280+R280</f>
        <v>0</v>
      </c>
      <c r="T280" s="34" t="str">
        <f aca="false">IF(A280="","",IFERROR(INDEX(Customers!$B$5:$B$204,MATCH(C280,Customers!$A$5:$A$204,0))&amp;"",""))</f>
        <v/>
      </c>
      <c r="U280" s="38" t="str">
        <f aca="false">IF(A280="","",IF(T280&lt;&gt;"","B2B",IF(AND(O280="Yes",SUMIF($A$5:$A$1004,A280,$L$5:$L$1004)+SUMIF($A$5:$A$1004,A280,$P$5:$P$1004)&gt;100000),"B2CL","B2CS")))</f>
        <v/>
      </c>
      <c r="V280" s="17" t="str">
        <f aca="false">IF(A280="","",TEXT(B280,"mmm-yyyy"))</f>
        <v/>
      </c>
    </row>
    <row r="281" customFormat="false" ht="15" hidden="false" customHeight="true" outlineLevel="0" collapsed="false">
      <c r="A281" s="24"/>
      <c r="B281" s="39"/>
      <c r="C281" s="24"/>
      <c r="D281" s="24"/>
      <c r="E281" s="40"/>
      <c r="F281" s="29"/>
      <c r="G281" s="30"/>
      <c r="H281" s="17" t="str">
        <f aca="false">IF(A281="","",A281&amp;"|"&amp;COUNTIF(A$5:A281,A281))</f>
        <v/>
      </c>
      <c r="I281" s="33" t="str">
        <f aca="false">IF(A281="","",IFERROR(INDEX(Items!$B$5:$B$304,MATCH(D281,Items!$A$5:$A$304,0))&amp;"",""))</f>
        <v/>
      </c>
      <c r="J281" s="34" t="str">
        <f aca="false">IF(A281="","",IFERROR(INDEX(Items!$C$5:$C$304,MATCH(D281,Items!$A$5:$A$304,0))&amp;"",""))</f>
        <v/>
      </c>
      <c r="K281" s="35" t="n">
        <f aca="false">IF(A281="",0,IF(ISNUMBER(F281),F281,IFERROR(INDEX(Items!$D$5:$D$304,MATCH(D281,Items!$A$5:$A$304,0)),0)))</f>
        <v>0</v>
      </c>
      <c r="L281" s="35" t="n">
        <f aca="false">ROUND(N(E281)*K281*(1-N(G281)),2)</f>
        <v>0</v>
      </c>
      <c r="M281" s="36" t="n">
        <f aca="false">IF(A281="",0,IFERROR(INDEX(Items!$E$5:$E$304,MATCH(D281,Items!$A$5:$A$304,0)),0))</f>
        <v>0</v>
      </c>
      <c r="N281" s="37" t="str">
        <f aca="false">IF(A281="","",IFERROR(INDEX(Customers!$E$5:$E$204,MATCH(C281,Customers!$A$5:$A$204,0)),"?"))</f>
        <v/>
      </c>
      <c r="O281" s="38" t="str">
        <f aca="false">IF(A281="","",IF(N281=Settings!$B$17,"No","Yes"))</f>
        <v/>
      </c>
      <c r="P281" s="35" t="n">
        <f aca="false">IF(O281="Yes",ROUND(L281*M281,2),0)</f>
        <v>0</v>
      </c>
      <c r="Q281" s="35" t="n">
        <f aca="false">IF(O281="No",ROUND(L281*M281/2,2),0)</f>
        <v>0</v>
      </c>
      <c r="R281" s="35" t="n">
        <f aca="false">Q281</f>
        <v>0</v>
      </c>
      <c r="S281" s="35" t="n">
        <f aca="false">L281+P281+Q281+R281</f>
        <v>0</v>
      </c>
      <c r="T281" s="34" t="str">
        <f aca="false">IF(A281="","",IFERROR(INDEX(Customers!$B$5:$B$204,MATCH(C281,Customers!$A$5:$A$204,0))&amp;"",""))</f>
        <v/>
      </c>
      <c r="U281" s="38" t="str">
        <f aca="false">IF(A281="","",IF(T281&lt;&gt;"","B2B",IF(AND(O281="Yes",SUMIF($A$5:$A$1004,A281,$L$5:$L$1004)+SUMIF($A$5:$A$1004,A281,$P$5:$P$1004)&gt;100000),"B2CL","B2CS")))</f>
        <v/>
      </c>
      <c r="V281" s="17" t="str">
        <f aca="false">IF(A281="","",TEXT(B281,"mmm-yyyy"))</f>
        <v/>
      </c>
    </row>
    <row r="282" customFormat="false" ht="15" hidden="false" customHeight="true" outlineLevel="0" collapsed="false">
      <c r="A282" s="24"/>
      <c r="B282" s="39"/>
      <c r="C282" s="24"/>
      <c r="D282" s="24"/>
      <c r="E282" s="40"/>
      <c r="F282" s="29"/>
      <c r="G282" s="30"/>
      <c r="H282" s="17" t="str">
        <f aca="false">IF(A282="","",A282&amp;"|"&amp;COUNTIF(A$5:A282,A282))</f>
        <v/>
      </c>
      <c r="I282" s="33" t="str">
        <f aca="false">IF(A282="","",IFERROR(INDEX(Items!$B$5:$B$304,MATCH(D282,Items!$A$5:$A$304,0))&amp;"",""))</f>
        <v/>
      </c>
      <c r="J282" s="34" t="str">
        <f aca="false">IF(A282="","",IFERROR(INDEX(Items!$C$5:$C$304,MATCH(D282,Items!$A$5:$A$304,0))&amp;"",""))</f>
        <v/>
      </c>
      <c r="K282" s="35" t="n">
        <f aca="false">IF(A282="",0,IF(ISNUMBER(F282),F282,IFERROR(INDEX(Items!$D$5:$D$304,MATCH(D282,Items!$A$5:$A$304,0)),0)))</f>
        <v>0</v>
      </c>
      <c r="L282" s="35" t="n">
        <f aca="false">ROUND(N(E282)*K282*(1-N(G282)),2)</f>
        <v>0</v>
      </c>
      <c r="M282" s="36" t="n">
        <f aca="false">IF(A282="",0,IFERROR(INDEX(Items!$E$5:$E$304,MATCH(D282,Items!$A$5:$A$304,0)),0))</f>
        <v>0</v>
      </c>
      <c r="N282" s="37" t="str">
        <f aca="false">IF(A282="","",IFERROR(INDEX(Customers!$E$5:$E$204,MATCH(C282,Customers!$A$5:$A$204,0)),"?"))</f>
        <v/>
      </c>
      <c r="O282" s="38" t="str">
        <f aca="false">IF(A282="","",IF(N282=Settings!$B$17,"No","Yes"))</f>
        <v/>
      </c>
      <c r="P282" s="35" t="n">
        <f aca="false">IF(O282="Yes",ROUND(L282*M282,2),0)</f>
        <v>0</v>
      </c>
      <c r="Q282" s="35" t="n">
        <f aca="false">IF(O282="No",ROUND(L282*M282/2,2),0)</f>
        <v>0</v>
      </c>
      <c r="R282" s="35" t="n">
        <f aca="false">Q282</f>
        <v>0</v>
      </c>
      <c r="S282" s="35" t="n">
        <f aca="false">L282+P282+Q282+R282</f>
        <v>0</v>
      </c>
      <c r="T282" s="34" t="str">
        <f aca="false">IF(A282="","",IFERROR(INDEX(Customers!$B$5:$B$204,MATCH(C282,Customers!$A$5:$A$204,0))&amp;"",""))</f>
        <v/>
      </c>
      <c r="U282" s="38" t="str">
        <f aca="false">IF(A282="","",IF(T282&lt;&gt;"","B2B",IF(AND(O282="Yes",SUMIF($A$5:$A$1004,A282,$L$5:$L$1004)+SUMIF($A$5:$A$1004,A282,$P$5:$P$1004)&gt;100000),"B2CL","B2CS")))</f>
        <v/>
      </c>
      <c r="V282" s="17" t="str">
        <f aca="false">IF(A282="","",TEXT(B282,"mmm-yyyy"))</f>
        <v/>
      </c>
    </row>
    <row r="283" customFormat="false" ht="15" hidden="false" customHeight="true" outlineLevel="0" collapsed="false">
      <c r="A283" s="24"/>
      <c r="B283" s="39"/>
      <c r="C283" s="24"/>
      <c r="D283" s="24"/>
      <c r="E283" s="40"/>
      <c r="F283" s="29"/>
      <c r="G283" s="30"/>
      <c r="H283" s="17" t="str">
        <f aca="false">IF(A283="","",A283&amp;"|"&amp;COUNTIF(A$5:A283,A283))</f>
        <v/>
      </c>
      <c r="I283" s="33" t="str">
        <f aca="false">IF(A283="","",IFERROR(INDEX(Items!$B$5:$B$304,MATCH(D283,Items!$A$5:$A$304,0))&amp;"",""))</f>
        <v/>
      </c>
      <c r="J283" s="34" t="str">
        <f aca="false">IF(A283="","",IFERROR(INDEX(Items!$C$5:$C$304,MATCH(D283,Items!$A$5:$A$304,0))&amp;"",""))</f>
        <v/>
      </c>
      <c r="K283" s="35" t="n">
        <f aca="false">IF(A283="",0,IF(ISNUMBER(F283),F283,IFERROR(INDEX(Items!$D$5:$D$304,MATCH(D283,Items!$A$5:$A$304,0)),0)))</f>
        <v>0</v>
      </c>
      <c r="L283" s="35" t="n">
        <f aca="false">ROUND(N(E283)*K283*(1-N(G283)),2)</f>
        <v>0</v>
      </c>
      <c r="M283" s="36" t="n">
        <f aca="false">IF(A283="",0,IFERROR(INDEX(Items!$E$5:$E$304,MATCH(D283,Items!$A$5:$A$304,0)),0))</f>
        <v>0</v>
      </c>
      <c r="N283" s="37" t="str">
        <f aca="false">IF(A283="","",IFERROR(INDEX(Customers!$E$5:$E$204,MATCH(C283,Customers!$A$5:$A$204,0)),"?"))</f>
        <v/>
      </c>
      <c r="O283" s="38" t="str">
        <f aca="false">IF(A283="","",IF(N283=Settings!$B$17,"No","Yes"))</f>
        <v/>
      </c>
      <c r="P283" s="35" t="n">
        <f aca="false">IF(O283="Yes",ROUND(L283*M283,2),0)</f>
        <v>0</v>
      </c>
      <c r="Q283" s="35" t="n">
        <f aca="false">IF(O283="No",ROUND(L283*M283/2,2),0)</f>
        <v>0</v>
      </c>
      <c r="R283" s="35" t="n">
        <f aca="false">Q283</f>
        <v>0</v>
      </c>
      <c r="S283" s="35" t="n">
        <f aca="false">L283+P283+Q283+R283</f>
        <v>0</v>
      </c>
      <c r="T283" s="34" t="str">
        <f aca="false">IF(A283="","",IFERROR(INDEX(Customers!$B$5:$B$204,MATCH(C283,Customers!$A$5:$A$204,0))&amp;"",""))</f>
        <v/>
      </c>
      <c r="U283" s="38" t="str">
        <f aca="false">IF(A283="","",IF(T283&lt;&gt;"","B2B",IF(AND(O283="Yes",SUMIF($A$5:$A$1004,A283,$L$5:$L$1004)+SUMIF($A$5:$A$1004,A283,$P$5:$P$1004)&gt;100000),"B2CL","B2CS")))</f>
        <v/>
      </c>
      <c r="V283" s="17" t="str">
        <f aca="false">IF(A283="","",TEXT(B283,"mmm-yyyy"))</f>
        <v/>
      </c>
    </row>
    <row r="284" customFormat="false" ht="15" hidden="false" customHeight="true" outlineLevel="0" collapsed="false">
      <c r="A284" s="24"/>
      <c r="B284" s="39"/>
      <c r="C284" s="24"/>
      <c r="D284" s="24"/>
      <c r="E284" s="40"/>
      <c r="F284" s="29"/>
      <c r="G284" s="30"/>
      <c r="H284" s="17" t="str">
        <f aca="false">IF(A284="","",A284&amp;"|"&amp;COUNTIF(A$5:A284,A284))</f>
        <v/>
      </c>
      <c r="I284" s="33" t="str">
        <f aca="false">IF(A284="","",IFERROR(INDEX(Items!$B$5:$B$304,MATCH(D284,Items!$A$5:$A$304,0))&amp;"",""))</f>
        <v/>
      </c>
      <c r="J284" s="34" t="str">
        <f aca="false">IF(A284="","",IFERROR(INDEX(Items!$C$5:$C$304,MATCH(D284,Items!$A$5:$A$304,0))&amp;"",""))</f>
        <v/>
      </c>
      <c r="K284" s="35" t="n">
        <f aca="false">IF(A284="",0,IF(ISNUMBER(F284),F284,IFERROR(INDEX(Items!$D$5:$D$304,MATCH(D284,Items!$A$5:$A$304,0)),0)))</f>
        <v>0</v>
      </c>
      <c r="L284" s="35" t="n">
        <f aca="false">ROUND(N(E284)*K284*(1-N(G284)),2)</f>
        <v>0</v>
      </c>
      <c r="M284" s="36" t="n">
        <f aca="false">IF(A284="",0,IFERROR(INDEX(Items!$E$5:$E$304,MATCH(D284,Items!$A$5:$A$304,0)),0))</f>
        <v>0</v>
      </c>
      <c r="N284" s="37" t="str">
        <f aca="false">IF(A284="","",IFERROR(INDEX(Customers!$E$5:$E$204,MATCH(C284,Customers!$A$5:$A$204,0)),"?"))</f>
        <v/>
      </c>
      <c r="O284" s="38" t="str">
        <f aca="false">IF(A284="","",IF(N284=Settings!$B$17,"No","Yes"))</f>
        <v/>
      </c>
      <c r="P284" s="35" t="n">
        <f aca="false">IF(O284="Yes",ROUND(L284*M284,2),0)</f>
        <v>0</v>
      </c>
      <c r="Q284" s="35" t="n">
        <f aca="false">IF(O284="No",ROUND(L284*M284/2,2),0)</f>
        <v>0</v>
      </c>
      <c r="R284" s="35" t="n">
        <f aca="false">Q284</f>
        <v>0</v>
      </c>
      <c r="S284" s="35" t="n">
        <f aca="false">L284+P284+Q284+R284</f>
        <v>0</v>
      </c>
      <c r="T284" s="34" t="str">
        <f aca="false">IF(A284="","",IFERROR(INDEX(Customers!$B$5:$B$204,MATCH(C284,Customers!$A$5:$A$204,0))&amp;"",""))</f>
        <v/>
      </c>
      <c r="U284" s="38" t="str">
        <f aca="false">IF(A284="","",IF(T284&lt;&gt;"","B2B",IF(AND(O284="Yes",SUMIF($A$5:$A$1004,A284,$L$5:$L$1004)+SUMIF($A$5:$A$1004,A284,$P$5:$P$1004)&gt;100000),"B2CL","B2CS")))</f>
        <v/>
      </c>
      <c r="V284" s="17" t="str">
        <f aca="false">IF(A284="","",TEXT(B284,"mmm-yyyy"))</f>
        <v/>
      </c>
    </row>
    <row r="285" customFormat="false" ht="15" hidden="false" customHeight="true" outlineLevel="0" collapsed="false">
      <c r="A285" s="24"/>
      <c r="B285" s="39"/>
      <c r="C285" s="24"/>
      <c r="D285" s="24"/>
      <c r="E285" s="40"/>
      <c r="F285" s="29"/>
      <c r="G285" s="30"/>
      <c r="H285" s="17" t="str">
        <f aca="false">IF(A285="","",A285&amp;"|"&amp;COUNTIF(A$5:A285,A285))</f>
        <v/>
      </c>
      <c r="I285" s="33" t="str">
        <f aca="false">IF(A285="","",IFERROR(INDEX(Items!$B$5:$B$304,MATCH(D285,Items!$A$5:$A$304,0))&amp;"",""))</f>
        <v/>
      </c>
      <c r="J285" s="34" t="str">
        <f aca="false">IF(A285="","",IFERROR(INDEX(Items!$C$5:$C$304,MATCH(D285,Items!$A$5:$A$304,0))&amp;"",""))</f>
        <v/>
      </c>
      <c r="K285" s="35" t="n">
        <f aca="false">IF(A285="",0,IF(ISNUMBER(F285),F285,IFERROR(INDEX(Items!$D$5:$D$304,MATCH(D285,Items!$A$5:$A$304,0)),0)))</f>
        <v>0</v>
      </c>
      <c r="L285" s="35" t="n">
        <f aca="false">ROUND(N(E285)*K285*(1-N(G285)),2)</f>
        <v>0</v>
      </c>
      <c r="M285" s="36" t="n">
        <f aca="false">IF(A285="",0,IFERROR(INDEX(Items!$E$5:$E$304,MATCH(D285,Items!$A$5:$A$304,0)),0))</f>
        <v>0</v>
      </c>
      <c r="N285" s="37" t="str">
        <f aca="false">IF(A285="","",IFERROR(INDEX(Customers!$E$5:$E$204,MATCH(C285,Customers!$A$5:$A$204,0)),"?"))</f>
        <v/>
      </c>
      <c r="O285" s="38" t="str">
        <f aca="false">IF(A285="","",IF(N285=Settings!$B$17,"No","Yes"))</f>
        <v/>
      </c>
      <c r="P285" s="35" t="n">
        <f aca="false">IF(O285="Yes",ROUND(L285*M285,2),0)</f>
        <v>0</v>
      </c>
      <c r="Q285" s="35" t="n">
        <f aca="false">IF(O285="No",ROUND(L285*M285/2,2),0)</f>
        <v>0</v>
      </c>
      <c r="R285" s="35" t="n">
        <f aca="false">Q285</f>
        <v>0</v>
      </c>
      <c r="S285" s="35" t="n">
        <f aca="false">L285+P285+Q285+R285</f>
        <v>0</v>
      </c>
      <c r="T285" s="34" t="str">
        <f aca="false">IF(A285="","",IFERROR(INDEX(Customers!$B$5:$B$204,MATCH(C285,Customers!$A$5:$A$204,0))&amp;"",""))</f>
        <v/>
      </c>
      <c r="U285" s="38" t="str">
        <f aca="false">IF(A285="","",IF(T285&lt;&gt;"","B2B",IF(AND(O285="Yes",SUMIF($A$5:$A$1004,A285,$L$5:$L$1004)+SUMIF($A$5:$A$1004,A285,$P$5:$P$1004)&gt;100000),"B2CL","B2CS")))</f>
        <v/>
      </c>
      <c r="V285" s="17" t="str">
        <f aca="false">IF(A285="","",TEXT(B285,"mmm-yyyy"))</f>
        <v/>
      </c>
    </row>
    <row r="286" customFormat="false" ht="15" hidden="false" customHeight="true" outlineLevel="0" collapsed="false">
      <c r="A286" s="24"/>
      <c r="B286" s="39"/>
      <c r="C286" s="24"/>
      <c r="D286" s="24"/>
      <c r="E286" s="40"/>
      <c r="F286" s="29"/>
      <c r="G286" s="30"/>
      <c r="H286" s="17" t="str">
        <f aca="false">IF(A286="","",A286&amp;"|"&amp;COUNTIF(A$5:A286,A286))</f>
        <v/>
      </c>
      <c r="I286" s="33" t="str">
        <f aca="false">IF(A286="","",IFERROR(INDEX(Items!$B$5:$B$304,MATCH(D286,Items!$A$5:$A$304,0))&amp;"",""))</f>
        <v/>
      </c>
      <c r="J286" s="34" t="str">
        <f aca="false">IF(A286="","",IFERROR(INDEX(Items!$C$5:$C$304,MATCH(D286,Items!$A$5:$A$304,0))&amp;"",""))</f>
        <v/>
      </c>
      <c r="K286" s="35" t="n">
        <f aca="false">IF(A286="",0,IF(ISNUMBER(F286),F286,IFERROR(INDEX(Items!$D$5:$D$304,MATCH(D286,Items!$A$5:$A$304,0)),0)))</f>
        <v>0</v>
      </c>
      <c r="L286" s="35" t="n">
        <f aca="false">ROUND(N(E286)*K286*(1-N(G286)),2)</f>
        <v>0</v>
      </c>
      <c r="M286" s="36" t="n">
        <f aca="false">IF(A286="",0,IFERROR(INDEX(Items!$E$5:$E$304,MATCH(D286,Items!$A$5:$A$304,0)),0))</f>
        <v>0</v>
      </c>
      <c r="N286" s="37" t="str">
        <f aca="false">IF(A286="","",IFERROR(INDEX(Customers!$E$5:$E$204,MATCH(C286,Customers!$A$5:$A$204,0)),"?"))</f>
        <v/>
      </c>
      <c r="O286" s="38" t="str">
        <f aca="false">IF(A286="","",IF(N286=Settings!$B$17,"No","Yes"))</f>
        <v/>
      </c>
      <c r="P286" s="35" t="n">
        <f aca="false">IF(O286="Yes",ROUND(L286*M286,2),0)</f>
        <v>0</v>
      </c>
      <c r="Q286" s="35" t="n">
        <f aca="false">IF(O286="No",ROUND(L286*M286/2,2),0)</f>
        <v>0</v>
      </c>
      <c r="R286" s="35" t="n">
        <f aca="false">Q286</f>
        <v>0</v>
      </c>
      <c r="S286" s="35" t="n">
        <f aca="false">L286+P286+Q286+R286</f>
        <v>0</v>
      </c>
      <c r="T286" s="34" t="str">
        <f aca="false">IF(A286="","",IFERROR(INDEX(Customers!$B$5:$B$204,MATCH(C286,Customers!$A$5:$A$204,0))&amp;"",""))</f>
        <v/>
      </c>
      <c r="U286" s="38" t="str">
        <f aca="false">IF(A286="","",IF(T286&lt;&gt;"","B2B",IF(AND(O286="Yes",SUMIF($A$5:$A$1004,A286,$L$5:$L$1004)+SUMIF($A$5:$A$1004,A286,$P$5:$P$1004)&gt;100000),"B2CL","B2CS")))</f>
        <v/>
      </c>
      <c r="V286" s="17" t="str">
        <f aca="false">IF(A286="","",TEXT(B286,"mmm-yyyy"))</f>
        <v/>
      </c>
    </row>
    <row r="287" customFormat="false" ht="15" hidden="false" customHeight="true" outlineLevel="0" collapsed="false">
      <c r="A287" s="24"/>
      <c r="B287" s="39"/>
      <c r="C287" s="24"/>
      <c r="D287" s="24"/>
      <c r="E287" s="40"/>
      <c r="F287" s="29"/>
      <c r="G287" s="30"/>
      <c r="H287" s="17" t="str">
        <f aca="false">IF(A287="","",A287&amp;"|"&amp;COUNTIF(A$5:A287,A287))</f>
        <v/>
      </c>
      <c r="I287" s="33" t="str">
        <f aca="false">IF(A287="","",IFERROR(INDEX(Items!$B$5:$B$304,MATCH(D287,Items!$A$5:$A$304,0))&amp;"",""))</f>
        <v/>
      </c>
      <c r="J287" s="34" t="str">
        <f aca="false">IF(A287="","",IFERROR(INDEX(Items!$C$5:$C$304,MATCH(D287,Items!$A$5:$A$304,0))&amp;"",""))</f>
        <v/>
      </c>
      <c r="K287" s="35" t="n">
        <f aca="false">IF(A287="",0,IF(ISNUMBER(F287),F287,IFERROR(INDEX(Items!$D$5:$D$304,MATCH(D287,Items!$A$5:$A$304,0)),0)))</f>
        <v>0</v>
      </c>
      <c r="L287" s="35" t="n">
        <f aca="false">ROUND(N(E287)*K287*(1-N(G287)),2)</f>
        <v>0</v>
      </c>
      <c r="M287" s="36" t="n">
        <f aca="false">IF(A287="",0,IFERROR(INDEX(Items!$E$5:$E$304,MATCH(D287,Items!$A$5:$A$304,0)),0))</f>
        <v>0</v>
      </c>
      <c r="N287" s="37" t="str">
        <f aca="false">IF(A287="","",IFERROR(INDEX(Customers!$E$5:$E$204,MATCH(C287,Customers!$A$5:$A$204,0)),"?"))</f>
        <v/>
      </c>
      <c r="O287" s="38" t="str">
        <f aca="false">IF(A287="","",IF(N287=Settings!$B$17,"No","Yes"))</f>
        <v/>
      </c>
      <c r="P287" s="35" t="n">
        <f aca="false">IF(O287="Yes",ROUND(L287*M287,2),0)</f>
        <v>0</v>
      </c>
      <c r="Q287" s="35" t="n">
        <f aca="false">IF(O287="No",ROUND(L287*M287/2,2),0)</f>
        <v>0</v>
      </c>
      <c r="R287" s="35" t="n">
        <f aca="false">Q287</f>
        <v>0</v>
      </c>
      <c r="S287" s="35" t="n">
        <f aca="false">L287+P287+Q287+R287</f>
        <v>0</v>
      </c>
      <c r="T287" s="34" t="str">
        <f aca="false">IF(A287="","",IFERROR(INDEX(Customers!$B$5:$B$204,MATCH(C287,Customers!$A$5:$A$204,0))&amp;"",""))</f>
        <v/>
      </c>
      <c r="U287" s="38" t="str">
        <f aca="false">IF(A287="","",IF(T287&lt;&gt;"","B2B",IF(AND(O287="Yes",SUMIF($A$5:$A$1004,A287,$L$5:$L$1004)+SUMIF($A$5:$A$1004,A287,$P$5:$P$1004)&gt;100000),"B2CL","B2CS")))</f>
        <v/>
      </c>
      <c r="V287" s="17" t="str">
        <f aca="false">IF(A287="","",TEXT(B287,"mmm-yyyy"))</f>
        <v/>
      </c>
    </row>
    <row r="288" customFormat="false" ht="15" hidden="false" customHeight="true" outlineLevel="0" collapsed="false">
      <c r="A288" s="24"/>
      <c r="B288" s="39"/>
      <c r="C288" s="24"/>
      <c r="D288" s="24"/>
      <c r="E288" s="40"/>
      <c r="F288" s="29"/>
      <c r="G288" s="30"/>
      <c r="H288" s="17" t="str">
        <f aca="false">IF(A288="","",A288&amp;"|"&amp;COUNTIF(A$5:A288,A288))</f>
        <v/>
      </c>
      <c r="I288" s="33" t="str">
        <f aca="false">IF(A288="","",IFERROR(INDEX(Items!$B$5:$B$304,MATCH(D288,Items!$A$5:$A$304,0))&amp;"",""))</f>
        <v/>
      </c>
      <c r="J288" s="34" t="str">
        <f aca="false">IF(A288="","",IFERROR(INDEX(Items!$C$5:$C$304,MATCH(D288,Items!$A$5:$A$304,0))&amp;"",""))</f>
        <v/>
      </c>
      <c r="K288" s="35" t="n">
        <f aca="false">IF(A288="",0,IF(ISNUMBER(F288),F288,IFERROR(INDEX(Items!$D$5:$D$304,MATCH(D288,Items!$A$5:$A$304,0)),0)))</f>
        <v>0</v>
      </c>
      <c r="L288" s="35" t="n">
        <f aca="false">ROUND(N(E288)*K288*(1-N(G288)),2)</f>
        <v>0</v>
      </c>
      <c r="M288" s="36" t="n">
        <f aca="false">IF(A288="",0,IFERROR(INDEX(Items!$E$5:$E$304,MATCH(D288,Items!$A$5:$A$304,0)),0))</f>
        <v>0</v>
      </c>
      <c r="N288" s="37" t="str">
        <f aca="false">IF(A288="","",IFERROR(INDEX(Customers!$E$5:$E$204,MATCH(C288,Customers!$A$5:$A$204,0)),"?"))</f>
        <v/>
      </c>
      <c r="O288" s="38" t="str">
        <f aca="false">IF(A288="","",IF(N288=Settings!$B$17,"No","Yes"))</f>
        <v/>
      </c>
      <c r="P288" s="35" t="n">
        <f aca="false">IF(O288="Yes",ROUND(L288*M288,2),0)</f>
        <v>0</v>
      </c>
      <c r="Q288" s="35" t="n">
        <f aca="false">IF(O288="No",ROUND(L288*M288/2,2),0)</f>
        <v>0</v>
      </c>
      <c r="R288" s="35" t="n">
        <f aca="false">Q288</f>
        <v>0</v>
      </c>
      <c r="S288" s="35" t="n">
        <f aca="false">L288+P288+Q288+R288</f>
        <v>0</v>
      </c>
      <c r="T288" s="34" t="str">
        <f aca="false">IF(A288="","",IFERROR(INDEX(Customers!$B$5:$B$204,MATCH(C288,Customers!$A$5:$A$204,0))&amp;"",""))</f>
        <v/>
      </c>
      <c r="U288" s="38" t="str">
        <f aca="false">IF(A288="","",IF(T288&lt;&gt;"","B2B",IF(AND(O288="Yes",SUMIF($A$5:$A$1004,A288,$L$5:$L$1004)+SUMIF($A$5:$A$1004,A288,$P$5:$P$1004)&gt;100000),"B2CL","B2CS")))</f>
        <v/>
      </c>
      <c r="V288" s="17" t="str">
        <f aca="false">IF(A288="","",TEXT(B288,"mmm-yyyy"))</f>
        <v/>
      </c>
    </row>
    <row r="289" customFormat="false" ht="15" hidden="false" customHeight="true" outlineLevel="0" collapsed="false">
      <c r="A289" s="24"/>
      <c r="B289" s="39"/>
      <c r="C289" s="24"/>
      <c r="D289" s="24"/>
      <c r="E289" s="40"/>
      <c r="F289" s="29"/>
      <c r="G289" s="30"/>
      <c r="H289" s="17" t="str">
        <f aca="false">IF(A289="","",A289&amp;"|"&amp;COUNTIF(A$5:A289,A289))</f>
        <v/>
      </c>
      <c r="I289" s="33" t="str">
        <f aca="false">IF(A289="","",IFERROR(INDEX(Items!$B$5:$B$304,MATCH(D289,Items!$A$5:$A$304,0))&amp;"",""))</f>
        <v/>
      </c>
      <c r="J289" s="34" t="str">
        <f aca="false">IF(A289="","",IFERROR(INDEX(Items!$C$5:$C$304,MATCH(D289,Items!$A$5:$A$304,0))&amp;"",""))</f>
        <v/>
      </c>
      <c r="K289" s="35" t="n">
        <f aca="false">IF(A289="",0,IF(ISNUMBER(F289),F289,IFERROR(INDEX(Items!$D$5:$D$304,MATCH(D289,Items!$A$5:$A$304,0)),0)))</f>
        <v>0</v>
      </c>
      <c r="L289" s="35" t="n">
        <f aca="false">ROUND(N(E289)*K289*(1-N(G289)),2)</f>
        <v>0</v>
      </c>
      <c r="M289" s="36" t="n">
        <f aca="false">IF(A289="",0,IFERROR(INDEX(Items!$E$5:$E$304,MATCH(D289,Items!$A$5:$A$304,0)),0))</f>
        <v>0</v>
      </c>
      <c r="N289" s="37" t="str">
        <f aca="false">IF(A289="","",IFERROR(INDEX(Customers!$E$5:$E$204,MATCH(C289,Customers!$A$5:$A$204,0)),"?"))</f>
        <v/>
      </c>
      <c r="O289" s="38" t="str">
        <f aca="false">IF(A289="","",IF(N289=Settings!$B$17,"No","Yes"))</f>
        <v/>
      </c>
      <c r="P289" s="35" t="n">
        <f aca="false">IF(O289="Yes",ROUND(L289*M289,2),0)</f>
        <v>0</v>
      </c>
      <c r="Q289" s="35" t="n">
        <f aca="false">IF(O289="No",ROUND(L289*M289/2,2),0)</f>
        <v>0</v>
      </c>
      <c r="R289" s="35" t="n">
        <f aca="false">Q289</f>
        <v>0</v>
      </c>
      <c r="S289" s="35" t="n">
        <f aca="false">L289+P289+Q289+R289</f>
        <v>0</v>
      </c>
      <c r="T289" s="34" t="str">
        <f aca="false">IF(A289="","",IFERROR(INDEX(Customers!$B$5:$B$204,MATCH(C289,Customers!$A$5:$A$204,0))&amp;"",""))</f>
        <v/>
      </c>
      <c r="U289" s="38" t="str">
        <f aca="false">IF(A289="","",IF(T289&lt;&gt;"","B2B",IF(AND(O289="Yes",SUMIF($A$5:$A$1004,A289,$L$5:$L$1004)+SUMIF($A$5:$A$1004,A289,$P$5:$P$1004)&gt;100000),"B2CL","B2CS")))</f>
        <v/>
      </c>
      <c r="V289" s="17" t="str">
        <f aca="false">IF(A289="","",TEXT(B289,"mmm-yyyy"))</f>
        <v/>
      </c>
    </row>
    <row r="290" customFormat="false" ht="15" hidden="false" customHeight="true" outlineLevel="0" collapsed="false">
      <c r="A290" s="24"/>
      <c r="B290" s="39"/>
      <c r="C290" s="24"/>
      <c r="D290" s="24"/>
      <c r="E290" s="40"/>
      <c r="F290" s="29"/>
      <c r="G290" s="30"/>
      <c r="H290" s="17" t="str">
        <f aca="false">IF(A290="","",A290&amp;"|"&amp;COUNTIF(A$5:A290,A290))</f>
        <v/>
      </c>
      <c r="I290" s="33" t="str">
        <f aca="false">IF(A290="","",IFERROR(INDEX(Items!$B$5:$B$304,MATCH(D290,Items!$A$5:$A$304,0))&amp;"",""))</f>
        <v/>
      </c>
      <c r="J290" s="34" t="str">
        <f aca="false">IF(A290="","",IFERROR(INDEX(Items!$C$5:$C$304,MATCH(D290,Items!$A$5:$A$304,0))&amp;"",""))</f>
        <v/>
      </c>
      <c r="K290" s="35" t="n">
        <f aca="false">IF(A290="",0,IF(ISNUMBER(F290),F290,IFERROR(INDEX(Items!$D$5:$D$304,MATCH(D290,Items!$A$5:$A$304,0)),0)))</f>
        <v>0</v>
      </c>
      <c r="L290" s="35" t="n">
        <f aca="false">ROUND(N(E290)*K290*(1-N(G290)),2)</f>
        <v>0</v>
      </c>
      <c r="M290" s="36" t="n">
        <f aca="false">IF(A290="",0,IFERROR(INDEX(Items!$E$5:$E$304,MATCH(D290,Items!$A$5:$A$304,0)),0))</f>
        <v>0</v>
      </c>
      <c r="N290" s="37" t="str">
        <f aca="false">IF(A290="","",IFERROR(INDEX(Customers!$E$5:$E$204,MATCH(C290,Customers!$A$5:$A$204,0)),"?"))</f>
        <v/>
      </c>
      <c r="O290" s="38" t="str">
        <f aca="false">IF(A290="","",IF(N290=Settings!$B$17,"No","Yes"))</f>
        <v/>
      </c>
      <c r="P290" s="35" t="n">
        <f aca="false">IF(O290="Yes",ROUND(L290*M290,2),0)</f>
        <v>0</v>
      </c>
      <c r="Q290" s="35" t="n">
        <f aca="false">IF(O290="No",ROUND(L290*M290/2,2),0)</f>
        <v>0</v>
      </c>
      <c r="R290" s="35" t="n">
        <f aca="false">Q290</f>
        <v>0</v>
      </c>
      <c r="S290" s="35" t="n">
        <f aca="false">L290+P290+Q290+R290</f>
        <v>0</v>
      </c>
      <c r="T290" s="34" t="str">
        <f aca="false">IF(A290="","",IFERROR(INDEX(Customers!$B$5:$B$204,MATCH(C290,Customers!$A$5:$A$204,0))&amp;"",""))</f>
        <v/>
      </c>
      <c r="U290" s="38" t="str">
        <f aca="false">IF(A290="","",IF(T290&lt;&gt;"","B2B",IF(AND(O290="Yes",SUMIF($A$5:$A$1004,A290,$L$5:$L$1004)+SUMIF($A$5:$A$1004,A290,$P$5:$P$1004)&gt;100000),"B2CL","B2CS")))</f>
        <v/>
      </c>
      <c r="V290" s="17" t="str">
        <f aca="false">IF(A290="","",TEXT(B290,"mmm-yyyy"))</f>
        <v/>
      </c>
    </row>
    <row r="291" customFormat="false" ht="15" hidden="false" customHeight="true" outlineLevel="0" collapsed="false">
      <c r="A291" s="24"/>
      <c r="B291" s="39"/>
      <c r="C291" s="24"/>
      <c r="D291" s="24"/>
      <c r="E291" s="40"/>
      <c r="F291" s="29"/>
      <c r="G291" s="30"/>
      <c r="H291" s="17" t="str">
        <f aca="false">IF(A291="","",A291&amp;"|"&amp;COUNTIF(A$5:A291,A291))</f>
        <v/>
      </c>
      <c r="I291" s="33" t="str">
        <f aca="false">IF(A291="","",IFERROR(INDEX(Items!$B$5:$B$304,MATCH(D291,Items!$A$5:$A$304,0))&amp;"",""))</f>
        <v/>
      </c>
      <c r="J291" s="34" t="str">
        <f aca="false">IF(A291="","",IFERROR(INDEX(Items!$C$5:$C$304,MATCH(D291,Items!$A$5:$A$304,0))&amp;"",""))</f>
        <v/>
      </c>
      <c r="K291" s="35" t="n">
        <f aca="false">IF(A291="",0,IF(ISNUMBER(F291),F291,IFERROR(INDEX(Items!$D$5:$D$304,MATCH(D291,Items!$A$5:$A$304,0)),0)))</f>
        <v>0</v>
      </c>
      <c r="L291" s="35" t="n">
        <f aca="false">ROUND(N(E291)*K291*(1-N(G291)),2)</f>
        <v>0</v>
      </c>
      <c r="M291" s="36" t="n">
        <f aca="false">IF(A291="",0,IFERROR(INDEX(Items!$E$5:$E$304,MATCH(D291,Items!$A$5:$A$304,0)),0))</f>
        <v>0</v>
      </c>
      <c r="N291" s="37" t="str">
        <f aca="false">IF(A291="","",IFERROR(INDEX(Customers!$E$5:$E$204,MATCH(C291,Customers!$A$5:$A$204,0)),"?"))</f>
        <v/>
      </c>
      <c r="O291" s="38" t="str">
        <f aca="false">IF(A291="","",IF(N291=Settings!$B$17,"No","Yes"))</f>
        <v/>
      </c>
      <c r="P291" s="35" t="n">
        <f aca="false">IF(O291="Yes",ROUND(L291*M291,2),0)</f>
        <v>0</v>
      </c>
      <c r="Q291" s="35" t="n">
        <f aca="false">IF(O291="No",ROUND(L291*M291/2,2),0)</f>
        <v>0</v>
      </c>
      <c r="R291" s="35" t="n">
        <f aca="false">Q291</f>
        <v>0</v>
      </c>
      <c r="S291" s="35" t="n">
        <f aca="false">L291+P291+Q291+R291</f>
        <v>0</v>
      </c>
      <c r="T291" s="34" t="str">
        <f aca="false">IF(A291="","",IFERROR(INDEX(Customers!$B$5:$B$204,MATCH(C291,Customers!$A$5:$A$204,0))&amp;"",""))</f>
        <v/>
      </c>
      <c r="U291" s="38" t="str">
        <f aca="false">IF(A291="","",IF(T291&lt;&gt;"","B2B",IF(AND(O291="Yes",SUMIF($A$5:$A$1004,A291,$L$5:$L$1004)+SUMIF($A$5:$A$1004,A291,$P$5:$P$1004)&gt;100000),"B2CL","B2CS")))</f>
        <v/>
      </c>
      <c r="V291" s="17" t="str">
        <f aca="false">IF(A291="","",TEXT(B291,"mmm-yyyy"))</f>
        <v/>
      </c>
    </row>
    <row r="292" customFormat="false" ht="15" hidden="false" customHeight="true" outlineLevel="0" collapsed="false">
      <c r="A292" s="24"/>
      <c r="B292" s="39"/>
      <c r="C292" s="24"/>
      <c r="D292" s="24"/>
      <c r="E292" s="40"/>
      <c r="F292" s="29"/>
      <c r="G292" s="30"/>
      <c r="H292" s="17" t="str">
        <f aca="false">IF(A292="","",A292&amp;"|"&amp;COUNTIF(A$5:A292,A292))</f>
        <v/>
      </c>
      <c r="I292" s="33" t="str">
        <f aca="false">IF(A292="","",IFERROR(INDEX(Items!$B$5:$B$304,MATCH(D292,Items!$A$5:$A$304,0))&amp;"",""))</f>
        <v/>
      </c>
      <c r="J292" s="34" t="str">
        <f aca="false">IF(A292="","",IFERROR(INDEX(Items!$C$5:$C$304,MATCH(D292,Items!$A$5:$A$304,0))&amp;"",""))</f>
        <v/>
      </c>
      <c r="K292" s="35" t="n">
        <f aca="false">IF(A292="",0,IF(ISNUMBER(F292),F292,IFERROR(INDEX(Items!$D$5:$D$304,MATCH(D292,Items!$A$5:$A$304,0)),0)))</f>
        <v>0</v>
      </c>
      <c r="L292" s="35" t="n">
        <f aca="false">ROUND(N(E292)*K292*(1-N(G292)),2)</f>
        <v>0</v>
      </c>
      <c r="M292" s="36" t="n">
        <f aca="false">IF(A292="",0,IFERROR(INDEX(Items!$E$5:$E$304,MATCH(D292,Items!$A$5:$A$304,0)),0))</f>
        <v>0</v>
      </c>
      <c r="N292" s="37" t="str">
        <f aca="false">IF(A292="","",IFERROR(INDEX(Customers!$E$5:$E$204,MATCH(C292,Customers!$A$5:$A$204,0)),"?"))</f>
        <v/>
      </c>
      <c r="O292" s="38" t="str">
        <f aca="false">IF(A292="","",IF(N292=Settings!$B$17,"No","Yes"))</f>
        <v/>
      </c>
      <c r="P292" s="35" t="n">
        <f aca="false">IF(O292="Yes",ROUND(L292*M292,2),0)</f>
        <v>0</v>
      </c>
      <c r="Q292" s="35" t="n">
        <f aca="false">IF(O292="No",ROUND(L292*M292/2,2),0)</f>
        <v>0</v>
      </c>
      <c r="R292" s="35" t="n">
        <f aca="false">Q292</f>
        <v>0</v>
      </c>
      <c r="S292" s="35" t="n">
        <f aca="false">L292+P292+Q292+R292</f>
        <v>0</v>
      </c>
      <c r="T292" s="34" t="str">
        <f aca="false">IF(A292="","",IFERROR(INDEX(Customers!$B$5:$B$204,MATCH(C292,Customers!$A$5:$A$204,0))&amp;"",""))</f>
        <v/>
      </c>
      <c r="U292" s="38" t="str">
        <f aca="false">IF(A292="","",IF(T292&lt;&gt;"","B2B",IF(AND(O292="Yes",SUMIF($A$5:$A$1004,A292,$L$5:$L$1004)+SUMIF($A$5:$A$1004,A292,$P$5:$P$1004)&gt;100000),"B2CL","B2CS")))</f>
        <v/>
      </c>
      <c r="V292" s="17" t="str">
        <f aca="false">IF(A292="","",TEXT(B292,"mmm-yyyy"))</f>
        <v/>
      </c>
    </row>
    <row r="293" customFormat="false" ht="15" hidden="false" customHeight="true" outlineLevel="0" collapsed="false">
      <c r="A293" s="24"/>
      <c r="B293" s="39"/>
      <c r="C293" s="24"/>
      <c r="D293" s="24"/>
      <c r="E293" s="40"/>
      <c r="F293" s="29"/>
      <c r="G293" s="30"/>
      <c r="H293" s="17" t="str">
        <f aca="false">IF(A293="","",A293&amp;"|"&amp;COUNTIF(A$5:A293,A293))</f>
        <v/>
      </c>
      <c r="I293" s="33" t="str">
        <f aca="false">IF(A293="","",IFERROR(INDEX(Items!$B$5:$B$304,MATCH(D293,Items!$A$5:$A$304,0))&amp;"",""))</f>
        <v/>
      </c>
      <c r="J293" s="34" t="str">
        <f aca="false">IF(A293="","",IFERROR(INDEX(Items!$C$5:$C$304,MATCH(D293,Items!$A$5:$A$304,0))&amp;"",""))</f>
        <v/>
      </c>
      <c r="K293" s="35" t="n">
        <f aca="false">IF(A293="",0,IF(ISNUMBER(F293),F293,IFERROR(INDEX(Items!$D$5:$D$304,MATCH(D293,Items!$A$5:$A$304,0)),0)))</f>
        <v>0</v>
      </c>
      <c r="L293" s="35" t="n">
        <f aca="false">ROUND(N(E293)*K293*(1-N(G293)),2)</f>
        <v>0</v>
      </c>
      <c r="M293" s="36" t="n">
        <f aca="false">IF(A293="",0,IFERROR(INDEX(Items!$E$5:$E$304,MATCH(D293,Items!$A$5:$A$304,0)),0))</f>
        <v>0</v>
      </c>
      <c r="N293" s="37" t="str">
        <f aca="false">IF(A293="","",IFERROR(INDEX(Customers!$E$5:$E$204,MATCH(C293,Customers!$A$5:$A$204,0)),"?"))</f>
        <v/>
      </c>
      <c r="O293" s="38" t="str">
        <f aca="false">IF(A293="","",IF(N293=Settings!$B$17,"No","Yes"))</f>
        <v/>
      </c>
      <c r="P293" s="35" t="n">
        <f aca="false">IF(O293="Yes",ROUND(L293*M293,2),0)</f>
        <v>0</v>
      </c>
      <c r="Q293" s="35" t="n">
        <f aca="false">IF(O293="No",ROUND(L293*M293/2,2),0)</f>
        <v>0</v>
      </c>
      <c r="R293" s="35" t="n">
        <f aca="false">Q293</f>
        <v>0</v>
      </c>
      <c r="S293" s="35" t="n">
        <f aca="false">L293+P293+Q293+R293</f>
        <v>0</v>
      </c>
      <c r="T293" s="34" t="str">
        <f aca="false">IF(A293="","",IFERROR(INDEX(Customers!$B$5:$B$204,MATCH(C293,Customers!$A$5:$A$204,0))&amp;"",""))</f>
        <v/>
      </c>
      <c r="U293" s="38" t="str">
        <f aca="false">IF(A293="","",IF(T293&lt;&gt;"","B2B",IF(AND(O293="Yes",SUMIF($A$5:$A$1004,A293,$L$5:$L$1004)+SUMIF($A$5:$A$1004,A293,$P$5:$P$1004)&gt;100000),"B2CL","B2CS")))</f>
        <v/>
      </c>
      <c r="V293" s="17" t="str">
        <f aca="false">IF(A293="","",TEXT(B293,"mmm-yyyy"))</f>
        <v/>
      </c>
    </row>
    <row r="294" customFormat="false" ht="15" hidden="false" customHeight="true" outlineLevel="0" collapsed="false">
      <c r="A294" s="24"/>
      <c r="B294" s="39"/>
      <c r="C294" s="24"/>
      <c r="D294" s="24"/>
      <c r="E294" s="40"/>
      <c r="F294" s="29"/>
      <c r="G294" s="30"/>
      <c r="H294" s="17" t="str">
        <f aca="false">IF(A294="","",A294&amp;"|"&amp;COUNTIF(A$5:A294,A294))</f>
        <v/>
      </c>
      <c r="I294" s="33" t="str">
        <f aca="false">IF(A294="","",IFERROR(INDEX(Items!$B$5:$B$304,MATCH(D294,Items!$A$5:$A$304,0))&amp;"",""))</f>
        <v/>
      </c>
      <c r="J294" s="34" t="str">
        <f aca="false">IF(A294="","",IFERROR(INDEX(Items!$C$5:$C$304,MATCH(D294,Items!$A$5:$A$304,0))&amp;"",""))</f>
        <v/>
      </c>
      <c r="K294" s="35" t="n">
        <f aca="false">IF(A294="",0,IF(ISNUMBER(F294),F294,IFERROR(INDEX(Items!$D$5:$D$304,MATCH(D294,Items!$A$5:$A$304,0)),0)))</f>
        <v>0</v>
      </c>
      <c r="L294" s="35" t="n">
        <f aca="false">ROUND(N(E294)*K294*(1-N(G294)),2)</f>
        <v>0</v>
      </c>
      <c r="M294" s="36" t="n">
        <f aca="false">IF(A294="",0,IFERROR(INDEX(Items!$E$5:$E$304,MATCH(D294,Items!$A$5:$A$304,0)),0))</f>
        <v>0</v>
      </c>
      <c r="N294" s="37" t="str">
        <f aca="false">IF(A294="","",IFERROR(INDEX(Customers!$E$5:$E$204,MATCH(C294,Customers!$A$5:$A$204,0)),"?"))</f>
        <v/>
      </c>
      <c r="O294" s="38" t="str">
        <f aca="false">IF(A294="","",IF(N294=Settings!$B$17,"No","Yes"))</f>
        <v/>
      </c>
      <c r="P294" s="35" t="n">
        <f aca="false">IF(O294="Yes",ROUND(L294*M294,2),0)</f>
        <v>0</v>
      </c>
      <c r="Q294" s="35" t="n">
        <f aca="false">IF(O294="No",ROUND(L294*M294/2,2),0)</f>
        <v>0</v>
      </c>
      <c r="R294" s="35" t="n">
        <f aca="false">Q294</f>
        <v>0</v>
      </c>
      <c r="S294" s="35" t="n">
        <f aca="false">L294+P294+Q294+R294</f>
        <v>0</v>
      </c>
      <c r="T294" s="34" t="str">
        <f aca="false">IF(A294="","",IFERROR(INDEX(Customers!$B$5:$B$204,MATCH(C294,Customers!$A$5:$A$204,0))&amp;"",""))</f>
        <v/>
      </c>
      <c r="U294" s="38" t="str">
        <f aca="false">IF(A294="","",IF(T294&lt;&gt;"","B2B",IF(AND(O294="Yes",SUMIF($A$5:$A$1004,A294,$L$5:$L$1004)+SUMIF($A$5:$A$1004,A294,$P$5:$P$1004)&gt;100000),"B2CL","B2CS")))</f>
        <v/>
      </c>
      <c r="V294" s="17" t="str">
        <f aca="false">IF(A294="","",TEXT(B294,"mmm-yyyy"))</f>
        <v/>
      </c>
    </row>
    <row r="295" customFormat="false" ht="15" hidden="false" customHeight="true" outlineLevel="0" collapsed="false">
      <c r="A295" s="24"/>
      <c r="B295" s="39"/>
      <c r="C295" s="24"/>
      <c r="D295" s="24"/>
      <c r="E295" s="40"/>
      <c r="F295" s="29"/>
      <c r="G295" s="30"/>
      <c r="H295" s="17" t="str">
        <f aca="false">IF(A295="","",A295&amp;"|"&amp;COUNTIF(A$5:A295,A295))</f>
        <v/>
      </c>
      <c r="I295" s="33" t="str">
        <f aca="false">IF(A295="","",IFERROR(INDEX(Items!$B$5:$B$304,MATCH(D295,Items!$A$5:$A$304,0))&amp;"",""))</f>
        <v/>
      </c>
      <c r="J295" s="34" t="str">
        <f aca="false">IF(A295="","",IFERROR(INDEX(Items!$C$5:$C$304,MATCH(D295,Items!$A$5:$A$304,0))&amp;"",""))</f>
        <v/>
      </c>
      <c r="K295" s="35" t="n">
        <f aca="false">IF(A295="",0,IF(ISNUMBER(F295),F295,IFERROR(INDEX(Items!$D$5:$D$304,MATCH(D295,Items!$A$5:$A$304,0)),0)))</f>
        <v>0</v>
      </c>
      <c r="L295" s="35" t="n">
        <f aca="false">ROUND(N(E295)*K295*(1-N(G295)),2)</f>
        <v>0</v>
      </c>
      <c r="M295" s="36" t="n">
        <f aca="false">IF(A295="",0,IFERROR(INDEX(Items!$E$5:$E$304,MATCH(D295,Items!$A$5:$A$304,0)),0))</f>
        <v>0</v>
      </c>
      <c r="N295" s="37" t="str">
        <f aca="false">IF(A295="","",IFERROR(INDEX(Customers!$E$5:$E$204,MATCH(C295,Customers!$A$5:$A$204,0)),"?"))</f>
        <v/>
      </c>
      <c r="O295" s="38" t="str">
        <f aca="false">IF(A295="","",IF(N295=Settings!$B$17,"No","Yes"))</f>
        <v/>
      </c>
      <c r="P295" s="35" t="n">
        <f aca="false">IF(O295="Yes",ROUND(L295*M295,2),0)</f>
        <v>0</v>
      </c>
      <c r="Q295" s="35" t="n">
        <f aca="false">IF(O295="No",ROUND(L295*M295/2,2),0)</f>
        <v>0</v>
      </c>
      <c r="R295" s="35" t="n">
        <f aca="false">Q295</f>
        <v>0</v>
      </c>
      <c r="S295" s="35" t="n">
        <f aca="false">L295+P295+Q295+R295</f>
        <v>0</v>
      </c>
      <c r="T295" s="34" t="str">
        <f aca="false">IF(A295="","",IFERROR(INDEX(Customers!$B$5:$B$204,MATCH(C295,Customers!$A$5:$A$204,0))&amp;"",""))</f>
        <v/>
      </c>
      <c r="U295" s="38" t="str">
        <f aca="false">IF(A295="","",IF(T295&lt;&gt;"","B2B",IF(AND(O295="Yes",SUMIF($A$5:$A$1004,A295,$L$5:$L$1004)+SUMIF($A$5:$A$1004,A295,$P$5:$P$1004)&gt;100000),"B2CL","B2CS")))</f>
        <v/>
      </c>
      <c r="V295" s="17" t="str">
        <f aca="false">IF(A295="","",TEXT(B295,"mmm-yyyy"))</f>
        <v/>
      </c>
    </row>
    <row r="296" customFormat="false" ht="15" hidden="false" customHeight="true" outlineLevel="0" collapsed="false">
      <c r="A296" s="24"/>
      <c r="B296" s="39"/>
      <c r="C296" s="24"/>
      <c r="D296" s="24"/>
      <c r="E296" s="40"/>
      <c r="F296" s="29"/>
      <c r="G296" s="30"/>
      <c r="H296" s="17" t="str">
        <f aca="false">IF(A296="","",A296&amp;"|"&amp;COUNTIF(A$5:A296,A296))</f>
        <v/>
      </c>
      <c r="I296" s="33" t="str">
        <f aca="false">IF(A296="","",IFERROR(INDEX(Items!$B$5:$B$304,MATCH(D296,Items!$A$5:$A$304,0))&amp;"",""))</f>
        <v/>
      </c>
      <c r="J296" s="34" t="str">
        <f aca="false">IF(A296="","",IFERROR(INDEX(Items!$C$5:$C$304,MATCH(D296,Items!$A$5:$A$304,0))&amp;"",""))</f>
        <v/>
      </c>
      <c r="K296" s="35" t="n">
        <f aca="false">IF(A296="",0,IF(ISNUMBER(F296),F296,IFERROR(INDEX(Items!$D$5:$D$304,MATCH(D296,Items!$A$5:$A$304,0)),0)))</f>
        <v>0</v>
      </c>
      <c r="L296" s="35" t="n">
        <f aca="false">ROUND(N(E296)*K296*(1-N(G296)),2)</f>
        <v>0</v>
      </c>
      <c r="M296" s="36" t="n">
        <f aca="false">IF(A296="",0,IFERROR(INDEX(Items!$E$5:$E$304,MATCH(D296,Items!$A$5:$A$304,0)),0))</f>
        <v>0</v>
      </c>
      <c r="N296" s="37" t="str">
        <f aca="false">IF(A296="","",IFERROR(INDEX(Customers!$E$5:$E$204,MATCH(C296,Customers!$A$5:$A$204,0)),"?"))</f>
        <v/>
      </c>
      <c r="O296" s="38" t="str">
        <f aca="false">IF(A296="","",IF(N296=Settings!$B$17,"No","Yes"))</f>
        <v/>
      </c>
      <c r="P296" s="35" t="n">
        <f aca="false">IF(O296="Yes",ROUND(L296*M296,2),0)</f>
        <v>0</v>
      </c>
      <c r="Q296" s="35" t="n">
        <f aca="false">IF(O296="No",ROUND(L296*M296/2,2),0)</f>
        <v>0</v>
      </c>
      <c r="R296" s="35" t="n">
        <f aca="false">Q296</f>
        <v>0</v>
      </c>
      <c r="S296" s="35" t="n">
        <f aca="false">L296+P296+Q296+R296</f>
        <v>0</v>
      </c>
      <c r="T296" s="34" t="str">
        <f aca="false">IF(A296="","",IFERROR(INDEX(Customers!$B$5:$B$204,MATCH(C296,Customers!$A$5:$A$204,0))&amp;"",""))</f>
        <v/>
      </c>
      <c r="U296" s="38" t="str">
        <f aca="false">IF(A296="","",IF(T296&lt;&gt;"","B2B",IF(AND(O296="Yes",SUMIF($A$5:$A$1004,A296,$L$5:$L$1004)+SUMIF($A$5:$A$1004,A296,$P$5:$P$1004)&gt;100000),"B2CL","B2CS")))</f>
        <v/>
      </c>
      <c r="V296" s="17" t="str">
        <f aca="false">IF(A296="","",TEXT(B296,"mmm-yyyy"))</f>
        <v/>
      </c>
    </row>
    <row r="297" customFormat="false" ht="15" hidden="false" customHeight="true" outlineLevel="0" collapsed="false">
      <c r="A297" s="24"/>
      <c r="B297" s="39"/>
      <c r="C297" s="24"/>
      <c r="D297" s="24"/>
      <c r="E297" s="40"/>
      <c r="F297" s="29"/>
      <c r="G297" s="30"/>
      <c r="H297" s="17" t="str">
        <f aca="false">IF(A297="","",A297&amp;"|"&amp;COUNTIF(A$5:A297,A297))</f>
        <v/>
      </c>
      <c r="I297" s="33" t="str">
        <f aca="false">IF(A297="","",IFERROR(INDEX(Items!$B$5:$B$304,MATCH(D297,Items!$A$5:$A$304,0))&amp;"",""))</f>
        <v/>
      </c>
      <c r="J297" s="34" t="str">
        <f aca="false">IF(A297="","",IFERROR(INDEX(Items!$C$5:$C$304,MATCH(D297,Items!$A$5:$A$304,0))&amp;"",""))</f>
        <v/>
      </c>
      <c r="K297" s="35" t="n">
        <f aca="false">IF(A297="",0,IF(ISNUMBER(F297),F297,IFERROR(INDEX(Items!$D$5:$D$304,MATCH(D297,Items!$A$5:$A$304,0)),0)))</f>
        <v>0</v>
      </c>
      <c r="L297" s="35" t="n">
        <f aca="false">ROUND(N(E297)*K297*(1-N(G297)),2)</f>
        <v>0</v>
      </c>
      <c r="M297" s="36" t="n">
        <f aca="false">IF(A297="",0,IFERROR(INDEX(Items!$E$5:$E$304,MATCH(D297,Items!$A$5:$A$304,0)),0))</f>
        <v>0</v>
      </c>
      <c r="N297" s="37" t="str">
        <f aca="false">IF(A297="","",IFERROR(INDEX(Customers!$E$5:$E$204,MATCH(C297,Customers!$A$5:$A$204,0)),"?"))</f>
        <v/>
      </c>
      <c r="O297" s="38" t="str">
        <f aca="false">IF(A297="","",IF(N297=Settings!$B$17,"No","Yes"))</f>
        <v/>
      </c>
      <c r="P297" s="35" t="n">
        <f aca="false">IF(O297="Yes",ROUND(L297*M297,2),0)</f>
        <v>0</v>
      </c>
      <c r="Q297" s="35" t="n">
        <f aca="false">IF(O297="No",ROUND(L297*M297/2,2),0)</f>
        <v>0</v>
      </c>
      <c r="R297" s="35" t="n">
        <f aca="false">Q297</f>
        <v>0</v>
      </c>
      <c r="S297" s="35" t="n">
        <f aca="false">L297+P297+Q297+R297</f>
        <v>0</v>
      </c>
      <c r="T297" s="34" t="str">
        <f aca="false">IF(A297="","",IFERROR(INDEX(Customers!$B$5:$B$204,MATCH(C297,Customers!$A$5:$A$204,0))&amp;"",""))</f>
        <v/>
      </c>
      <c r="U297" s="38" t="str">
        <f aca="false">IF(A297="","",IF(T297&lt;&gt;"","B2B",IF(AND(O297="Yes",SUMIF($A$5:$A$1004,A297,$L$5:$L$1004)+SUMIF($A$5:$A$1004,A297,$P$5:$P$1004)&gt;100000),"B2CL","B2CS")))</f>
        <v/>
      </c>
      <c r="V297" s="17" t="str">
        <f aca="false">IF(A297="","",TEXT(B297,"mmm-yyyy"))</f>
        <v/>
      </c>
    </row>
    <row r="298" customFormat="false" ht="15" hidden="false" customHeight="true" outlineLevel="0" collapsed="false">
      <c r="A298" s="24"/>
      <c r="B298" s="39"/>
      <c r="C298" s="24"/>
      <c r="D298" s="24"/>
      <c r="E298" s="40"/>
      <c r="F298" s="29"/>
      <c r="G298" s="30"/>
      <c r="H298" s="17" t="str">
        <f aca="false">IF(A298="","",A298&amp;"|"&amp;COUNTIF(A$5:A298,A298))</f>
        <v/>
      </c>
      <c r="I298" s="33" t="str">
        <f aca="false">IF(A298="","",IFERROR(INDEX(Items!$B$5:$B$304,MATCH(D298,Items!$A$5:$A$304,0))&amp;"",""))</f>
        <v/>
      </c>
      <c r="J298" s="34" t="str">
        <f aca="false">IF(A298="","",IFERROR(INDEX(Items!$C$5:$C$304,MATCH(D298,Items!$A$5:$A$304,0))&amp;"",""))</f>
        <v/>
      </c>
      <c r="K298" s="35" t="n">
        <f aca="false">IF(A298="",0,IF(ISNUMBER(F298),F298,IFERROR(INDEX(Items!$D$5:$D$304,MATCH(D298,Items!$A$5:$A$304,0)),0)))</f>
        <v>0</v>
      </c>
      <c r="L298" s="35" t="n">
        <f aca="false">ROUND(N(E298)*K298*(1-N(G298)),2)</f>
        <v>0</v>
      </c>
      <c r="M298" s="36" t="n">
        <f aca="false">IF(A298="",0,IFERROR(INDEX(Items!$E$5:$E$304,MATCH(D298,Items!$A$5:$A$304,0)),0))</f>
        <v>0</v>
      </c>
      <c r="N298" s="37" t="str">
        <f aca="false">IF(A298="","",IFERROR(INDEX(Customers!$E$5:$E$204,MATCH(C298,Customers!$A$5:$A$204,0)),"?"))</f>
        <v/>
      </c>
      <c r="O298" s="38" t="str">
        <f aca="false">IF(A298="","",IF(N298=Settings!$B$17,"No","Yes"))</f>
        <v/>
      </c>
      <c r="P298" s="35" t="n">
        <f aca="false">IF(O298="Yes",ROUND(L298*M298,2),0)</f>
        <v>0</v>
      </c>
      <c r="Q298" s="35" t="n">
        <f aca="false">IF(O298="No",ROUND(L298*M298/2,2),0)</f>
        <v>0</v>
      </c>
      <c r="R298" s="35" t="n">
        <f aca="false">Q298</f>
        <v>0</v>
      </c>
      <c r="S298" s="35" t="n">
        <f aca="false">L298+P298+Q298+R298</f>
        <v>0</v>
      </c>
      <c r="T298" s="34" t="str">
        <f aca="false">IF(A298="","",IFERROR(INDEX(Customers!$B$5:$B$204,MATCH(C298,Customers!$A$5:$A$204,0))&amp;"",""))</f>
        <v/>
      </c>
      <c r="U298" s="38" t="str">
        <f aca="false">IF(A298="","",IF(T298&lt;&gt;"","B2B",IF(AND(O298="Yes",SUMIF($A$5:$A$1004,A298,$L$5:$L$1004)+SUMIF($A$5:$A$1004,A298,$P$5:$P$1004)&gt;100000),"B2CL","B2CS")))</f>
        <v/>
      </c>
      <c r="V298" s="17" t="str">
        <f aca="false">IF(A298="","",TEXT(B298,"mmm-yyyy"))</f>
        <v/>
      </c>
    </row>
    <row r="299" customFormat="false" ht="15" hidden="false" customHeight="true" outlineLevel="0" collapsed="false">
      <c r="A299" s="24"/>
      <c r="B299" s="39"/>
      <c r="C299" s="24"/>
      <c r="D299" s="24"/>
      <c r="E299" s="40"/>
      <c r="F299" s="29"/>
      <c r="G299" s="30"/>
      <c r="H299" s="17" t="str">
        <f aca="false">IF(A299="","",A299&amp;"|"&amp;COUNTIF(A$5:A299,A299))</f>
        <v/>
      </c>
      <c r="I299" s="33" t="str">
        <f aca="false">IF(A299="","",IFERROR(INDEX(Items!$B$5:$B$304,MATCH(D299,Items!$A$5:$A$304,0))&amp;"",""))</f>
        <v/>
      </c>
      <c r="J299" s="34" t="str">
        <f aca="false">IF(A299="","",IFERROR(INDEX(Items!$C$5:$C$304,MATCH(D299,Items!$A$5:$A$304,0))&amp;"",""))</f>
        <v/>
      </c>
      <c r="K299" s="35" t="n">
        <f aca="false">IF(A299="",0,IF(ISNUMBER(F299),F299,IFERROR(INDEX(Items!$D$5:$D$304,MATCH(D299,Items!$A$5:$A$304,0)),0)))</f>
        <v>0</v>
      </c>
      <c r="L299" s="35" t="n">
        <f aca="false">ROUND(N(E299)*K299*(1-N(G299)),2)</f>
        <v>0</v>
      </c>
      <c r="M299" s="36" t="n">
        <f aca="false">IF(A299="",0,IFERROR(INDEX(Items!$E$5:$E$304,MATCH(D299,Items!$A$5:$A$304,0)),0))</f>
        <v>0</v>
      </c>
      <c r="N299" s="37" t="str">
        <f aca="false">IF(A299="","",IFERROR(INDEX(Customers!$E$5:$E$204,MATCH(C299,Customers!$A$5:$A$204,0)),"?"))</f>
        <v/>
      </c>
      <c r="O299" s="38" t="str">
        <f aca="false">IF(A299="","",IF(N299=Settings!$B$17,"No","Yes"))</f>
        <v/>
      </c>
      <c r="P299" s="35" t="n">
        <f aca="false">IF(O299="Yes",ROUND(L299*M299,2),0)</f>
        <v>0</v>
      </c>
      <c r="Q299" s="35" t="n">
        <f aca="false">IF(O299="No",ROUND(L299*M299/2,2),0)</f>
        <v>0</v>
      </c>
      <c r="R299" s="35" t="n">
        <f aca="false">Q299</f>
        <v>0</v>
      </c>
      <c r="S299" s="35" t="n">
        <f aca="false">L299+P299+Q299+R299</f>
        <v>0</v>
      </c>
      <c r="T299" s="34" t="str">
        <f aca="false">IF(A299="","",IFERROR(INDEX(Customers!$B$5:$B$204,MATCH(C299,Customers!$A$5:$A$204,0))&amp;"",""))</f>
        <v/>
      </c>
      <c r="U299" s="38" t="str">
        <f aca="false">IF(A299="","",IF(T299&lt;&gt;"","B2B",IF(AND(O299="Yes",SUMIF($A$5:$A$1004,A299,$L$5:$L$1004)+SUMIF($A$5:$A$1004,A299,$P$5:$P$1004)&gt;100000),"B2CL","B2CS")))</f>
        <v/>
      </c>
      <c r="V299" s="17" t="str">
        <f aca="false">IF(A299="","",TEXT(B299,"mmm-yyyy"))</f>
        <v/>
      </c>
    </row>
    <row r="300" customFormat="false" ht="15" hidden="false" customHeight="true" outlineLevel="0" collapsed="false">
      <c r="A300" s="24"/>
      <c r="B300" s="39"/>
      <c r="C300" s="24"/>
      <c r="D300" s="24"/>
      <c r="E300" s="40"/>
      <c r="F300" s="29"/>
      <c r="G300" s="30"/>
      <c r="H300" s="17" t="str">
        <f aca="false">IF(A300="","",A300&amp;"|"&amp;COUNTIF(A$5:A300,A300))</f>
        <v/>
      </c>
      <c r="I300" s="33" t="str">
        <f aca="false">IF(A300="","",IFERROR(INDEX(Items!$B$5:$B$304,MATCH(D300,Items!$A$5:$A$304,0))&amp;"",""))</f>
        <v/>
      </c>
      <c r="J300" s="34" t="str">
        <f aca="false">IF(A300="","",IFERROR(INDEX(Items!$C$5:$C$304,MATCH(D300,Items!$A$5:$A$304,0))&amp;"",""))</f>
        <v/>
      </c>
      <c r="K300" s="35" t="n">
        <f aca="false">IF(A300="",0,IF(ISNUMBER(F300),F300,IFERROR(INDEX(Items!$D$5:$D$304,MATCH(D300,Items!$A$5:$A$304,0)),0)))</f>
        <v>0</v>
      </c>
      <c r="L300" s="35" t="n">
        <f aca="false">ROUND(N(E300)*K300*(1-N(G300)),2)</f>
        <v>0</v>
      </c>
      <c r="M300" s="36" t="n">
        <f aca="false">IF(A300="",0,IFERROR(INDEX(Items!$E$5:$E$304,MATCH(D300,Items!$A$5:$A$304,0)),0))</f>
        <v>0</v>
      </c>
      <c r="N300" s="37" t="str">
        <f aca="false">IF(A300="","",IFERROR(INDEX(Customers!$E$5:$E$204,MATCH(C300,Customers!$A$5:$A$204,0)),"?"))</f>
        <v/>
      </c>
      <c r="O300" s="38" t="str">
        <f aca="false">IF(A300="","",IF(N300=Settings!$B$17,"No","Yes"))</f>
        <v/>
      </c>
      <c r="P300" s="35" t="n">
        <f aca="false">IF(O300="Yes",ROUND(L300*M300,2),0)</f>
        <v>0</v>
      </c>
      <c r="Q300" s="35" t="n">
        <f aca="false">IF(O300="No",ROUND(L300*M300/2,2),0)</f>
        <v>0</v>
      </c>
      <c r="R300" s="35" t="n">
        <f aca="false">Q300</f>
        <v>0</v>
      </c>
      <c r="S300" s="35" t="n">
        <f aca="false">L300+P300+Q300+R300</f>
        <v>0</v>
      </c>
      <c r="T300" s="34" t="str">
        <f aca="false">IF(A300="","",IFERROR(INDEX(Customers!$B$5:$B$204,MATCH(C300,Customers!$A$5:$A$204,0))&amp;"",""))</f>
        <v/>
      </c>
      <c r="U300" s="38" t="str">
        <f aca="false">IF(A300="","",IF(T300&lt;&gt;"","B2B",IF(AND(O300="Yes",SUMIF($A$5:$A$1004,A300,$L$5:$L$1004)+SUMIF($A$5:$A$1004,A300,$P$5:$P$1004)&gt;100000),"B2CL","B2CS")))</f>
        <v/>
      </c>
      <c r="V300" s="17" t="str">
        <f aca="false">IF(A300="","",TEXT(B300,"mmm-yyyy"))</f>
        <v/>
      </c>
    </row>
    <row r="301" customFormat="false" ht="15" hidden="false" customHeight="true" outlineLevel="0" collapsed="false">
      <c r="A301" s="24"/>
      <c r="B301" s="39"/>
      <c r="C301" s="24"/>
      <c r="D301" s="24"/>
      <c r="E301" s="40"/>
      <c r="F301" s="29"/>
      <c r="G301" s="30"/>
      <c r="H301" s="17" t="str">
        <f aca="false">IF(A301="","",A301&amp;"|"&amp;COUNTIF(A$5:A301,A301))</f>
        <v/>
      </c>
      <c r="I301" s="33" t="str">
        <f aca="false">IF(A301="","",IFERROR(INDEX(Items!$B$5:$B$304,MATCH(D301,Items!$A$5:$A$304,0))&amp;"",""))</f>
        <v/>
      </c>
      <c r="J301" s="34" t="str">
        <f aca="false">IF(A301="","",IFERROR(INDEX(Items!$C$5:$C$304,MATCH(D301,Items!$A$5:$A$304,0))&amp;"",""))</f>
        <v/>
      </c>
      <c r="K301" s="35" t="n">
        <f aca="false">IF(A301="",0,IF(ISNUMBER(F301),F301,IFERROR(INDEX(Items!$D$5:$D$304,MATCH(D301,Items!$A$5:$A$304,0)),0)))</f>
        <v>0</v>
      </c>
      <c r="L301" s="35" t="n">
        <f aca="false">ROUND(N(E301)*K301*(1-N(G301)),2)</f>
        <v>0</v>
      </c>
      <c r="M301" s="36" t="n">
        <f aca="false">IF(A301="",0,IFERROR(INDEX(Items!$E$5:$E$304,MATCH(D301,Items!$A$5:$A$304,0)),0))</f>
        <v>0</v>
      </c>
      <c r="N301" s="37" t="str">
        <f aca="false">IF(A301="","",IFERROR(INDEX(Customers!$E$5:$E$204,MATCH(C301,Customers!$A$5:$A$204,0)),"?"))</f>
        <v/>
      </c>
      <c r="O301" s="38" t="str">
        <f aca="false">IF(A301="","",IF(N301=Settings!$B$17,"No","Yes"))</f>
        <v/>
      </c>
      <c r="P301" s="35" t="n">
        <f aca="false">IF(O301="Yes",ROUND(L301*M301,2),0)</f>
        <v>0</v>
      </c>
      <c r="Q301" s="35" t="n">
        <f aca="false">IF(O301="No",ROUND(L301*M301/2,2),0)</f>
        <v>0</v>
      </c>
      <c r="R301" s="35" t="n">
        <f aca="false">Q301</f>
        <v>0</v>
      </c>
      <c r="S301" s="35" t="n">
        <f aca="false">L301+P301+Q301+R301</f>
        <v>0</v>
      </c>
      <c r="T301" s="34" t="str">
        <f aca="false">IF(A301="","",IFERROR(INDEX(Customers!$B$5:$B$204,MATCH(C301,Customers!$A$5:$A$204,0))&amp;"",""))</f>
        <v/>
      </c>
      <c r="U301" s="38" t="str">
        <f aca="false">IF(A301="","",IF(T301&lt;&gt;"","B2B",IF(AND(O301="Yes",SUMIF($A$5:$A$1004,A301,$L$5:$L$1004)+SUMIF($A$5:$A$1004,A301,$P$5:$P$1004)&gt;100000),"B2CL","B2CS")))</f>
        <v/>
      </c>
      <c r="V301" s="17" t="str">
        <f aca="false">IF(A301="","",TEXT(B301,"mmm-yyyy"))</f>
        <v/>
      </c>
    </row>
    <row r="302" customFormat="false" ht="15" hidden="false" customHeight="true" outlineLevel="0" collapsed="false">
      <c r="A302" s="24"/>
      <c r="B302" s="39"/>
      <c r="C302" s="24"/>
      <c r="D302" s="24"/>
      <c r="E302" s="40"/>
      <c r="F302" s="29"/>
      <c r="G302" s="30"/>
      <c r="H302" s="17" t="str">
        <f aca="false">IF(A302="","",A302&amp;"|"&amp;COUNTIF(A$5:A302,A302))</f>
        <v/>
      </c>
      <c r="I302" s="33" t="str">
        <f aca="false">IF(A302="","",IFERROR(INDEX(Items!$B$5:$B$304,MATCH(D302,Items!$A$5:$A$304,0))&amp;"",""))</f>
        <v/>
      </c>
      <c r="J302" s="34" t="str">
        <f aca="false">IF(A302="","",IFERROR(INDEX(Items!$C$5:$C$304,MATCH(D302,Items!$A$5:$A$304,0))&amp;"",""))</f>
        <v/>
      </c>
      <c r="K302" s="35" t="n">
        <f aca="false">IF(A302="",0,IF(ISNUMBER(F302),F302,IFERROR(INDEX(Items!$D$5:$D$304,MATCH(D302,Items!$A$5:$A$304,0)),0)))</f>
        <v>0</v>
      </c>
      <c r="L302" s="35" t="n">
        <f aca="false">ROUND(N(E302)*K302*(1-N(G302)),2)</f>
        <v>0</v>
      </c>
      <c r="M302" s="36" t="n">
        <f aca="false">IF(A302="",0,IFERROR(INDEX(Items!$E$5:$E$304,MATCH(D302,Items!$A$5:$A$304,0)),0))</f>
        <v>0</v>
      </c>
      <c r="N302" s="37" t="str">
        <f aca="false">IF(A302="","",IFERROR(INDEX(Customers!$E$5:$E$204,MATCH(C302,Customers!$A$5:$A$204,0)),"?"))</f>
        <v/>
      </c>
      <c r="O302" s="38" t="str">
        <f aca="false">IF(A302="","",IF(N302=Settings!$B$17,"No","Yes"))</f>
        <v/>
      </c>
      <c r="P302" s="35" t="n">
        <f aca="false">IF(O302="Yes",ROUND(L302*M302,2),0)</f>
        <v>0</v>
      </c>
      <c r="Q302" s="35" t="n">
        <f aca="false">IF(O302="No",ROUND(L302*M302/2,2),0)</f>
        <v>0</v>
      </c>
      <c r="R302" s="35" t="n">
        <f aca="false">Q302</f>
        <v>0</v>
      </c>
      <c r="S302" s="35" t="n">
        <f aca="false">L302+P302+Q302+R302</f>
        <v>0</v>
      </c>
      <c r="T302" s="34" t="str">
        <f aca="false">IF(A302="","",IFERROR(INDEX(Customers!$B$5:$B$204,MATCH(C302,Customers!$A$5:$A$204,0))&amp;"",""))</f>
        <v/>
      </c>
      <c r="U302" s="38" t="str">
        <f aca="false">IF(A302="","",IF(T302&lt;&gt;"","B2B",IF(AND(O302="Yes",SUMIF($A$5:$A$1004,A302,$L$5:$L$1004)+SUMIF($A$5:$A$1004,A302,$P$5:$P$1004)&gt;100000),"B2CL","B2CS")))</f>
        <v/>
      </c>
      <c r="V302" s="17" t="str">
        <f aca="false">IF(A302="","",TEXT(B302,"mmm-yyyy"))</f>
        <v/>
      </c>
    </row>
    <row r="303" customFormat="false" ht="15" hidden="false" customHeight="true" outlineLevel="0" collapsed="false">
      <c r="A303" s="24"/>
      <c r="B303" s="39"/>
      <c r="C303" s="24"/>
      <c r="D303" s="24"/>
      <c r="E303" s="40"/>
      <c r="F303" s="29"/>
      <c r="G303" s="30"/>
      <c r="H303" s="17" t="str">
        <f aca="false">IF(A303="","",A303&amp;"|"&amp;COUNTIF(A$5:A303,A303))</f>
        <v/>
      </c>
      <c r="I303" s="33" t="str">
        <f aca="false">IF(A303="","",IFERROR(INDEX(Items!$B$5:$B$304,MATCH(D303,Items!$A$5:$A$304,0))&amp;"",""))</f>
        <v/>
      </c>
      <c r="J303" s="34" t="str">
        <f aca="false">IF(A303="","",IFERROR(INDEX(Items!$C$5:$C$304,MATCH(D303,Items!$A$5:$A$304,0))&amp;"",""))</f>
        <v/>
      </c>
      <c r="K303" s="35" t="n">
        <f aca="false">IF(A303="",0,IF(ISNUMBER(F303),F303,IFERROR(INDEX(Items!$D$5:$D$304,MATCH(D303,Items!$A$5:$A$304,0)),0)))</f>
        <v>0</v>
      </c>
      <c r="L303" s="35" t="n">
        <f aca="false">ROUND(N(E303)*K303*(1-N(G303)),2)</f>
        <v>0</v>
      </c>
      <c r="M303" s="36" t="n">
        <f aca="false">IF(A303="",0,IFERROR(INDEX(Items!$E$5:$E$304,MATCH(D303,Items!$A$5:$A$304,0)),0))</f>
        <v>0</v>
      </c>
      <c r="N303" s="37" t="str">
        <f aca="false">IF(A303="","",IFERROR(INDEX(Customers!$E$5:$E$204,MATCH(C303,Customers!$A$5:$A$204,0)),"?"))</f>
        <v/>
      </c>
      <c r="O303" s="38" t="str">
        <f aca="false">IF(A303="","",IF(N303=Settings!$B$17,"No","Yes"))</f>
        <v/>
      </c>
      <c r="P303" s="35" t="n">
        <f aca="false">IF(O303="Yes",ROUND(L303*M303,2),0)</f>
        <v>0</v>
      </c>
      <c r="Q303" s="35" t="n">
        <f aca="false">IF(O303="No",ROUND(L303*M303/2,2),0)</f>
        <v>0</v>
      </c>
      <c r="R303" s="35" t="n">
        <f aca="false">Q303</f>
        <v>0</v>
      </c>
      <c r="S303" s="35" t="n">
        <f aca="false">L303+P303+Q303+R303</f>
        <v>0</v>
      </c>
      <c r="T303" s="34" t="str">
        <f aca="false">IF(A303="","",IFERROR(INDEX(Customers!$B$5:$B$204,MATCH(C303,Customers!$A$5:$A$204,0))&amp;"",""))</f>
        <v/>
      </c>
      <c r="U303" s="38" t="str">
        <f aca="false">IF(A303="","",IF(T303&lt;&gt;"","B2B",IF(AND(O303="Yes",SUMIF($A$5:$A$1004,A303,$L$5:$L$1004)+SUMIF($A$5:$A$1004,A303,$P$5:$P$1004)&gt;100000),"B2CL","B2CS")))</f>
        <v/>
      </c>
      <c r="V303" s="17" t="str">
        <f aca="false">IF(A303="","",TEXT(B303,"mmm-yyyy"))</f>
        <v/>
      </c>
    </row>
    <row r="304" customFormat="false" ht="15" hidden="false" customHeight="true" outlineLevel="0" collapsed="false">
      <c r="A304" s="24"/>
      <c r="B304" s="39"/>
      <c r="C304" s="24"/>
      <c r="D304" s="24"/>
      <c r="E304" s="40"/>
      <c r="F304" s="29"/>
      <c r="G304" s="30"/>
      <c r="H304" s="17" t="str">
        <f aca="false">IF(A304="","",A304&amp;"|"&amp;COUNTIF(A$5:A304,A304))</f>
        <v/>
      </c>
      <c r="I304" s="33" t="str">
        <f aca="false">IF(A304="","",IFERROR(INDEX(Items!$B$5:$B$304,MATCH(D304,Items!$A$5:$A$304,0))&amp;"",""))</f>
        <v/>
      </c>
      <c r="J304" s="34" t="str">
        <f aca="false">IF(A304="","",IFERROR(INDEX(Items!$C$5:$C$304,MATCH(D304,Items!$A$5:$A$304,0))&amp;"",""))</f>
        <v/>
      </c>
      <c r="K304" s="35" t="n">
        <f aca="false">IF(A304="",0,IF(ISNUMBER(F304),F304,IFERROR(INDEX(Items!$D$5:$D$304,MATCH(D304,Items!$A$5:$A$304,0)),0)))</f>
        <v>0</v>
      </c>
      <c r="L304" s="35" t="n">
        <f aca="false">ROUND(N(E304)*K304*(1-N(G304)),2)</f>
        <v>0</v>
      </c>
      <c r="M304" s="36" t="n">
        <f aca="false">IF(A304="",0,IFERROR(INDEX(Items!$E$5:$E$304,MATCH(D304,Items!$A$5:$A$304,0)),0))</f>
        <v>0</v>
      </c>
      <c r="N304" s="37" t="str">
        <f aca="false">IF(A304="","",IFERROR(INDEX(Customers!$E$5:$E$204,MATCH(C304,Customers!$A$5:$A$204,0)),"?"))</f>
        <v/>
      </c>
      <c r="O304" s="38" t="str">
        <f aca="false">IF(A304="","",IF(N304=Settings!$B$17,"No","Yes"))</f>
        <v/>
      </c>
      <c r="P304" s="35" t="n">
        <f aca="false">IF(O304="Yes",ROUND(L304*M304,2),0)</f>
        <v>0</v>
      </c>
      <c r="Q304" s="35" t="n">
        <f aca="false">IF(O304="No",ROUND(L304*M304/2,2),0)</f>
        <v>0</v>
      </c>
      <c r="R304" s="35" t="n">
        <f aca="false">Q304</f>
        <v>0</v>
      </c>
      <c r="S304" s="35" t="n">
        <f aca="false">L304+P304+Q304+R304</f>
        <v>0</v>
      </c>
      <c r="T304" s="34" t="str">
        <f aca="false">IF(A304="","",IFERROR(INDEX(Customers!$B$5:$B$204,MATCH(C304,Customers!$A$5:$A$204,0))&amp;"",""))</f>
        <v/>
      </c>
      <c r="U304" s="38" t="str">
        <f aca="false">IF(A304="","",IF(T304&lt;&gt;"","B2B",IF(AND(O304="Yes",SUMIF($A$5:$A$1004,A304,$L$5:$L$1004)+SUMIF($A$5:$A$1004,A304,$P$5:$P$1004)&gt;100000),"B2CL","B2CS")))</f>
        <v/>
      </c>
      <c r="V304" s="17" t="str">
        <f aca="false">IF(A304="","",TEXT(B304,"mmm-yyyy"))</f>
        <v/>
      </c>
    </row>
    <row r="305" customFormat="false" ht="15" hidden="false" customHeight="true" outlineLevel="0" collapsed="false">
      <c r="A305" s="24"/>
      <c r="B305" s="39"/>
      <c r="C305" s="24"/>
      <c r="D305" s="24"/>
      <c r="E305" s="40"/>
      <c r="F305" s="29"/>
      <c r="G305" s="30"/>
      <c r="H305" s="17" t="str">
        <f aca="false">IF(A305="","",A305&amp;"|"&amp;COUNTIF(A$5:A305,A305))</f>
        <v/>
      </c>
      <c r="I305" s="33" t="str">
        <f aca="false">IF(A305="","",IFERROR(INDEX(Items!$B$5:$B$304,MATCH(D305,Items!$A$5:$A$304,0))&amp;"",""))</f>
        <v/>
      </c>
      <c r="J305" s="34" t="str">
        <f aca="false">IF(A305="","",IFERROR(INDEX(Items!$C$5:$C$304,MATCH(D305,Items!$A$5:$A$304,0))&amp;"",""))</f>
        <v/>
      </c>
      <c r="K305" s="35" t="n">
        <f aca="false">IF(A305="",0,IF(ISNUMBER(F305),F305,IFERROR(INDEX(Items!$D$5:$D$304,MATCH(D305,Items!$A$5:$A$304,0)),0)))</f>
        <v>0</v>
      </c>
      <c r="L305" s="35" t="n">
        <f aca="false">ROUND(N(E305)*K305*(1-N(G305)),2)</f>
        <v>0</v>
      </c>
      <c r="M305" s="36" t="n">
        <f aca="false">IF(A305="",0,IFERROR(INDEX(Items!$E$5:$E$304,MATCH(D305,Items!$A$5:$A$304,0)),0))</f>
        <v>0</v>
      </c>
      <c r="N305" s="37" t="str">
        <f aca="false">IF(A305="","",IFERROR(INDEX(Customers!$E$5:$E$204,MATCH(C305,Customers!$A$5:$A$204,0)),"?"))</f>
        <v/>
      </c>
      <c r="O305" s="38" t="str">
        <f aca="false">IF(A305="","",IF(N305=Settings!$B$17,"No","Yes"))</f>
        <v/>
      </c>
      <c r="P305" s="35" t="n">
        <f aca="false">IF(O305="Yes",ROUND(L305*M305,2),0)</f>
        <v>0</v>
      </c>
      <c r="Q305" s="35" t="n">
        <f aca="false">IF(O305="No",ROUND(L305*M305/2,2),0)</f>
        <v>0</v>
      </c>
      <c r="R305" s="35" t="n">
        <f aca="false">Q305</f>
        <v>0</v>
      </c>
      <c r="S305" s="35" t="n">
        <f aca="false">L305+P305+Q305+R305</f>
        <v>0</v>
      </c>
      <c r="T305" s="34" t="str">
        <f aca="false">IF(A305="","",IFERROR(INDEX(Customers!$B$5:$B$204,MATCH(C305,Customers!$A$5:$A$204,0))&amp;"",""))</f>
        <v/>
      </c>
      <c r="U305" s="38" t="str">
        <f aca="false">IF(A305="","",IF(T305&lt;&gt;"","B2B",IF(AND(O305="Yes",SUMIF($A$5:$A$1004,A305,$L$5:$L$1004)+SUMIF($A$5:$A$1004,A305,$P$5:$P$1004)&gt;100000),"B2CL","B2CS")))</f>
        <v/>
      </c>
      <c r="V305" s="17" t="str">
        <f aca="false">IF(A305="","",TEXT(B305,"mmm-yyyy"))</f>
        <v/>
      </c>
    </row>
    <row r="306" customFormat="false" ht="15" hidden="false" customHeight="true" outlineLevel="0" collapsed="false">
      <c r="A306" s="24"/>
      <c r="B306" s="39"/>
      <c r="C306" s="24"/>
      <c r="D306" s="24"/>
      <c r="E306" s="40"/>
      <c r="F306" s="29"/>
      <c r="G306" s="30"/>
      <c r="H306" s="17" t="str">
        <f aca="false">IF(A306="","",A306&amp;"|"&amp;COUNTIF(A$5:A306,A306))</f>
        <v/>
      </c>
      <c r="I306" s="33" t="str">
        <f aca="false">IF(A306="","",IFERROR(INDEX(Items!$B$5:$B$304,MATCH(D306,Items!$A$5:$A$304,0))&amp;"",""))</f>
        <v/>
      </c>
      <c r="J306" s="34" t="str">
        <f aca="false">IF(A306="","",IFERROR(INDEX(Items!$C$5:$C$304,MATCH(D306,Items!$A$5:$A$304,0))&amp;"",""))</f>
        <v/>
      </c>
      <c r="K306" s="35" t="n">
        <f aca="false">IF(A306="",0,IF(ISNUMBER(F306),F306,IFERROR(INDEX(Items!$D$5:$D$304,MATCH(D306,Items!$A$5:$A$304,0)),0)))</f>
        <v>0</v>
      </c>
      <c r="L306" s="35" t="n">
        <f aca="false">ROUND(N(E306)*K306*(1-N(G306)),2)</f>
        <v>0</v>
      </c>
      <c r="M306" s="36" t="n">
        <f aca="false">IF(A306="",0,IFERROR(INDEX(Items!$E$5:$E$304,MATCH(D306,Items!$A$5:$A$304,0)),0))</f>
        <v>0</v>
      </c>
      <c r="N306" s="37" t="str">
        <f aca="false">IF(A306="","",IFERROR(INDEX(Customers!$E$5:$E$204,MATCH(C306,Customers!$A$5:$A$204,0)),"?"))</f>
        <v/>
      </c>
      <c r="O306" s="38" t="str">
        <f aca="false">IF(A306="","",IF(N306=Settings!$B$17,"No","Yes"))</f>
        <v/>
      </c>
      <c r="P306" s="35" t="n">
        <f aca="false">IF(O306="Yes",ROUND(L306*M306,2),0)</f>
        <v>0</v>
      </c>
      <c r="Q306" s="35" t="n">
        <f aca="false">IF(O306="No",ROUND(L306*M306/2,2),0)</f>
        <v>0</v>
      </c>
      <c r="R306" s="35" t="n">
        <f aca="false">Q306</f>
        <v>0</v>
      </c>
      <c r="S306" s="35" t="n">
        <f aca="false">L306+P306+Q306+R306</f>
        <v>0</v>
      </c>
      <c r="T306" s="34" t="str">
        <f aca="false">IF(A306="","",IFERROR(INDEX(Customers!$B$5:$B$204,MATCH(C306,Customers!$A$5:$A$204,0))&amp;"",""))</f>
        <v/>
      </c>
      <c r="U306" s="38" t="str">
        <f aca="false">IF(A306="","",IF(T306&lt;&gt;"","B2B",IF(AND(O306="Yes",SUMIF($A$5:$A$1004,A306,$L$5:$L$1004)+SUMIF($A$5:$A$1004,A306,$P$5:$P$1004)&gt;100000),"B2CL","B2CS")))</f>
        <v/>
      </c>
      <c r="V306" s="17" t="str">
        <f aca="false">IF(A306="","",TEXT(B306,"mmm-yyyy"))</f>
        <v/>
      </c>
    </row>
    <row r="307" customFormat="false" ht="15" hidden="false" customHeight="true" outlineLevel="0" collapsed="false">
      <c r="A307" s="24"/>
      <c r="B307" s="39"/>
      <c r="C307" s="24"/>
      <c r="D307" s="24"/>
      <c r="E307" s="40"/>
      <c r="F307" s="29"/>
      <c r="G307" s="30"/>
      <c r="H307" s="17" t="str">
        <f aca="false">IF(A307="","",A307&amp;"|"&amp;COUNTIF(A$5:A307,A307))</f>
        <v/>
      </c>
      <c r="I307" s="33" t="str">
        <f aca="false">IF(A307="","",IFERROR(INDEX(Items!$B$5:$B$304,MATCH(D307,Items!$A$5:$A$304,0))&amp;"",""))</f>
        <v/>
      </c>
      <c r="J307" s="34" t="str">
        <f aca="false">IF(A307="","",IFERROR(INDEX(Items!$C$5:$C$304,MATCH(D307,Items!$A$5:$A$304,0))&amp;"",""))</f>
        <v/>
      </c>
      <c r="K307" s="35" t="n">
        <f aca="false">IF(A307="",0,IF(ISNUMBER(F307),F307,IFERROR(INDEX(Items!$D$5:$D$304,MATCH(D307,Items!$A$5:$A$304,0)),0)))</f>
        <v>0</v>
      </c>
      <c r="L307" s="35" t="n">
        <f aca="false">ROUND(N(E307)*K307*(1-N(G307)),2)</f>
        <v>0</v>
      </c>
      <c r="M307" s="36" t="n">
        <f aca="false">IF(A307="",0,IFERROR(INDEX(Items!$E$5:$E$304,MATCH(D307,Items!$A$5:$A$304,0)),0))</f>
        <v>0</v>
      </c>
      <c r="N307" s="37" t="str">
        <f aca="false">IF(A307="","",IFERROR(INDEX(Customers!$E$5:$E$204,MATCH(C307,Customers!$A$5:$A$204,0)),"?"))</f>
        <v/>
      </c>
      <c r="O307" s="38" t="str">
        <f aca="false">IF(A307="","",IF(N307=Settings!$B$17,"No","Yes"))</f>
        <v/>
      </c>
      <c r="P307" s="35" t="n">
        <f aca="false">IF(O307="Yes",ROUND(L307*M307,2),0)</f>
        <v>0</v>
      </c>
      <c r="Q307" s="35" t="n">
        <f aca="false">IF(O307="No",ROUND(L307*M307/2,2),0)</f>
        <v>0</v>
      </c>
      <c r="R307" s="35" t="n">
        <f aca="false">Q307</f>
        <v>0</v>
      </c>
      <c r="S307" s="35" t="n">
        <f aca="false">L307+P307+Q307+R307</f>
        <v>0</v>
      </c>
      <c r="T307" s="34" t="str">
        <f aca="false">IF(A307="","",IFERROR(INDEX(Customers!$B$5:$B$204,MATCH(C307,Customers!$A$5:$A$204,0))&amp;"",""))</f>
        <v/>
      </c>
      <c r="U307" s="38" t="str">
        <f aca="false">IF(A307="","",IF(T307&lt;&gt;"","B2B",IF(AND(O307="Yes",SUMIF($A$5:$A$1004,A307,$L$5:$L$1004)+SUMIF($A$5:$A$1004,A307,$P$5:$P$1004)&gt;100000),"B2CL","B2CS")))</f>
        <v/>
      </c>
      <c r="V307" s="17" t="str">
        <f aca="false">IF(A307="","",TEXT(B307,"mmm-yyyy"))</f>
        <v/>
      </c>
    </row>
    <row r="308" customFormat="false" ht="15" hidden="false" customHeight="true" outlineLevel="0" collapsed="false">
      <c r="A308" s="24"/>
      <c r="B308" s="39"/>
      <c r="C308" s="24"/>
      <c r="D308" s="24"/>
      <c r="E308" s="40"/>
      <c r="F308" s="29"/>
      <c r="G308" s="30"/>
      <c r="H308" s="17" t="str">
        <f aca="false">IF(A308="","",A308&amp;"|"&amp;COUNTIF(A$5:A308,A308))</f>
        <v/>
      </c>
      <c r="I308" s="33" t="str">
        <f aca="false">IF(A308="","",IFERROR(INDEX(Items!$B$5:$B$304,MATCH(D308,Items!$A$5:$A$304,0))&amp;"",""))</f>
        <v/>
      </c>
      <c r="J308" s="34" t="str">
        <f aca="false">IF(A308="","",IFERROR(INDEX(Items!$C$5:$C$304,MATCH(D308,Items!$A$5:$A$304,0))&amp;"",""))</f>
        <v/>
      </c>
      <c r="K308" s="35" t="n">
        <f aca="false">IF(A308="",0,IF(ISNUMBER(F308),F308,IFERROR(INDEX(Items!$D$5:$D$304,MATCH(D308,Items!$A$5:$A$304,0)),0)))</f>
        <v>0</v>
      </c>
      <c r="L308" s="35" t="n">
        <f aca="false">ROUND(N(E308)*K308*(1-N(G308)),2)</f>
        <v>0</v>
      </c>
      <c r="M308" s="36" t="n">
        <f aca="false">IF(A308="",0,IFERROR(INDEX(Items!$E$5:$E$304,MATCH(D308,Items!$A$5:$A$304,0)),0))</f>
        <v>0</v>
      </c>
      <c r="N308" s="37" t="str">
        <f aca="false">IF(A308="","",IFERROR(INDEX(Customers!$E$5:$E$204,MATCH(C308,Customers!$A$5:$A$204,0)),"?"))</f>
        <v/>
      </c>
      <c r="O308" s="38" t="str">
        <f aca="false">IF(A308="","",IF(N308=Settings!$B$17,"No","Yes"))</f>
        <v/>
      </c>
      <c r="P308" s="35" t="n">
        <f aca="false">IF(O308="Yes",ROUND(L308*M308,2),0)</f>
        <v>0</v>
      </c>
      <c r="Q308" s="35" t="n">
        <f aca="false">IF(O308="No",ROUND(L308*M308/2,2),0)</f>
        <v>0</v>
      </c>
      <c r="R308" s="35" t="n">
        <f aca="false">Q308</f>
        <v>0</v>
      </c>
      <c r="S308" s="35" t="n">
        <f aca="false">L308+P308+Q308+R308</f>
        <v>0</v>
      </c>
      <c r="T308" s="34" t="str">
        <f aca="false">IF(A308="","",IFERROR(INDEX(Customers!$B$5:$B$204,MATCH(C308,Customers!$A$5:$A$204,0))&amp;"",""))</f>
        <v/>
      </c>
      <c r="U308" s="38" t="str">
        <f aca="false">IF(A308="","",IF(T308&lt;&gt;"","B2B",IF(AND(O308="Yes",SUMIF($A$5:$A$1004,A308,$L$5:$L$1004)+SUMIF($A$5:$A$1004,A308,$P$5:$P$1004)&gt;100000),"B2CL","B2CS")))</f>
        <v/>
      </c>
      <c r="V308" s="17" t="str">
        <f aca="false">IF(A308="","",TEXT(B308,"mmm-yyyy"))</f>
        <v/>
      </c>
    </row>
    <row r="309" customFormat="false" ht="15" hidden="false" customHeight="true" outlineLevel="0" collapsed="false">
      <c r="A309" s="24"/>
      <c r="B309" s="39"/>
      <c r="C309" s="24"/>
      <c r="D309" s="24"/>
      <c r="E309" s="40"/>
      <c r="F309" s="29"/>
      <c r="G309" s="30"/>
      <c r="H309" s="17" t="str">
        <f aca="false">IF(A309="","",A309&amp;"|"&amp;COUNTIF(A$5:A309,A309))</f>
        <v/>
      </c>
      <c r="I309" s="33" t="str">
        <f aca="false">IF(A309="","",IFERROR(INDEX(Items!$B$5:$B$304,MATCH(D309,Items!$A$5:$A$304,0))&amp;"",""))</f>
        <v/>
      </c>
      <c r="J309" s="34" t="str">
        <f aca="false">IF(A309="","",IFERROR(INDEX(Items!$C$5:$C$304,MATCH(D309,Items!$A$5:$A$304,0))&amp;"",""))</f>
        <v/>
      </c>
      <c r="K309" s="35" t="n">
        <f aca="false">IF(A309="",0,IF(ISNUMBER(F309),F309,IFERROR(INDEX(Items!$D$5:$D$304,MATCH(D309,Items!$A$5:$A$304,0)),0)))</f>
        <v>0</v>
      </c>
      <c r="L309" s="35" t="n">
        <f aca="false">ROUND(N(E309)*K309*(1-N(G309)),2)</f>
        <v>0</v>
      </c>
      <c r="M309" s="36" t="n">
        <f aca="false">IF(A309="",0,IFERROR(INDEX(Items!$E$5:$E$304,MATCH(D309,Items!$A$5:$A$304,0)),0))</f>
        <v>0</v>
      </c>
      <c r="N309" s="37" t="str">
        <f aca="false">IF(A309="","",IFERROR(INDEX(Customers!$E$5:$E$204,MATCH(C309,Customers!$A$5:$A$204,0)),"?"))</f>
        <v/>
      </c>
      <c r="O309" s="38" t="str">
        <f aca="false">IF(A309="","",IF(N309=Settings!$B$17,"No","Yes"))</f>
        <v/>
      </c>
      <c r="P309" s="35" t="n">
        <f aca="false">IF(O309="Yes",ROUND(L309*M309,2),0)</f>
        <v>0</v>
      </c>
      <c r="Q309" s="35" t="n">
        <f aca="false">IF(O309="No",ROUND(L309*M309/2,2),0)</f>
        <v>0</v>
      </c>
      <c r="R309" s="35" t="n">
        <f aca="false">Q309</f>
        <v>0</v>
      </c>
      <c r="S309" s="35" t="n">
        <f aca="false">L309+P309+Q309+R309</f>
        <v>0</v>
      </c>
      <c r="T309" s="34" t="str">
        <f aca="false">IF(A309="","",IFERROR(INDEX(Customers!$B$5:$B$204,MATCH(C309,Customers!$A$5:$A$204,0))&amp;"",""))</f>
        <v/>
      </c>
      <c r="U309" s="38" t="str">
        <f aca="false">IF(A309="","",IF(T309&lt;&gt;"","B2B",IF(AND(O309="Yes",SUMIF($A$5:$A$1004,A309,$L$5:$L$1004)+SUMIF($A$5:$A$1004,A309,$P$5:$P$1004)&gt;100000),"B2CL","B2CS")))</f>
        <v/>
      </c>
      <c r="V309" s="17" t="str">
        <f aca="false">IF(A309="","",TEXT(B309,"mmm-yyyy"))</f>
        <v/>
      </c>
    </row>
    <row r="310" customFormat="false" ht="15" hidden="false" customHeight="true" outlineLevel="0" collapsed="false">
      <c r="A310" s="24"/>
      <c r="B310" s="39"/>
      <c r="C310" s="24"/>
      <c r="D310" s="24"/>
      <c r="E310" s="40"/>
      <c r="F310" s="29"/>
      <c r="G310" s="30"/>
      <c r="H310" s="17" t="str">
        <f aca="false">IF(A310="","",A310&amp;"|"&amp;COUNTIF(A$5:A310,A310))</f>
        <v/>
      </c>
      <c r="I310" s="33" t="str">
        <f aca="false">IF(A310="","",IFERROR(INDEX(Items!$B$5:$B$304,MATCH(D310,Items!$A$5:$A$304,0))&amp;"",""))</f>
        <v/>
      </c>
      <c r="J310" s="34" t="str">
        <f aca="false">IF(A310="","",IFERROR(INDEX(Items!$C$5:$C$304,MATCH(D310,Items!$A$5:$A$304,0))&amp;"",""))</f>
        <v/>
      </c>
      <c r="K310" s="35" t="n">
        <f aca="false">IF(A310="",0,IF(ISNUMBER(F310),F310,IFERROR(INDEX(Items!$D$5:$D$304,MATCH(D310,Items!$A$5:$A$304,0)),0)))</f>
        <v>0</v>
      </c>
      <c r="L310" s="35" t="n">
        <f aca="false">ROUND(N(E310)*K310*(1-N(G310)),2)</f>
        <v>0</v>
      </c>
      <c r="M310" s="36" t="n">
        <f aca="false">IF(A310="",0,IFERROR(INDEX(Items!$E$5:$E$304,MATCH(D310,Items!$A$5:$A$304,0)),0))</f>
        <v>0</v>
      </c>
      <c r="N310" s="37" t="str">
        <f aca="false">IF(A310="","",IFERROR(INDEX(Customers!$E$5:$E$204,MATCH(C310,Customers!$A$5:$A$204,0)),"?"))</f>
        <v/>
      </c>
      <c r="O310" s="38" t="str">
        <f aca="false">IF(A310="","",IF(N310=Settings!$B$17,"No","Yes"))</f>
        <v/>
      </c>
      <c r="P310" s="35" t="n">
        <f aca="false">IF(O310="Yes",ROUND(L310*M310,2),0)</f>
        <v>0</v>
      </c>
      <c r="Q310" s="35" t="n">
        <f aca="false">IF(O310="No",ROUND(L310*M310/2,2),0)</f>
        <v>0</v>
      </c>
      <c r="R310" s="35" t="n">
        <f aca="false">Q310</f>
        <v>0</v>
      </c>
      <c r="S310" s="35" t="n">
        <f aca="false">L310+P310+Q310+R310</f>
        <v>0</v>
      </c>
      <c r="T310" s="34" t="str">
        <f aca="false">IF(A310="","",IFERROR(INDEX(Customers!$B$5:$B$204,MATCH(C310,Customers!$A$5:$A$204,0))&amp;"",""))</f>
        <v/>
      </c>
      <c r="U310" s="38" t="str">
        <f aca="false">IF(A310="","",IF(T310&lt;&gt;"","B2B",IF(AND(O310="Yes",SUMIF($A$5:$A$1004,A310,$L$5:$L$1004)+SUMIF($A$5:$A$1004,A310,$P$5:$P$1004)&gt;100000),"B2CL","B2CS")))</f>
        <v/>
      </c>
      <c r="V310" s="17" t="str">
        <f aca="false">IF(A310="","",TEXT(B310,"mmm-yyyy"))</f>
        <v/>
      </c>
    </row>
    <row r="311" customFormat="false" ht="15" hidden="false" customHeight="true" outlineLevel="0" collapsed="false">
      <c r="A311" s="24"/>
      <c r="B311" s="39"/>
      <c r="C311" s="24"/>
      <c r="D311" s="24"/>
      <c r="E311" s="40"/>
      <c r="F311" s="29"/>
      <c r="G311" s="30"/>
      <c r="H311" s="17" t="str">
        <f aca="false">IF(A311="","",A311&amp;"|"&amp;COUNTIF(A$5:A311,A311))</f>
        <v/>
      </c>
      <c r="I311" s="33" t="str">
        <f aca="false">IF(A311="","",IFERROR(INDEX(Items!$B$5:$B$304,MATCH(D311,Items!$A$5:$A$304,0))&amp;"",""))</f>
        <v/>
      </c>
      <c r="J311" s="34" t="str">
        <f aca="false">IF(A311="","",IFERROR(INDEX(Items!$C$5:$C$304,MATCH(D311,Items!$A$5:$A$304,0))&amp;"",""))</f>
        <v/>
      </c>
      <c r="K311" s="35" t="n">
        <f aca="false">IF(A311="",0,IF(ISNUMBER(F311),F311,IFERROR(INDEX(Items!$D$5:$D$304,MATCH(D311,Items!$A$5:$A$304,0)),0)))</f>
        <v>0</v>
      </c>
      <c r="L311" s="35" t="n">
        <f aca="false">ROUND(N(E311)*K311*(1-N(G311)),2)</f>
        <v>0</v>
      </c>
      <c r="M311" s="36" t="n">
        <f aca="false">IF(A311="",0,IFERROR(INDEX(Items!$E$5:$E$304,MATCH(D311,Items!$A$5:$A$304,0)),0))</f>
        <v>0</v>
      </c>
      <c r="N311" s="37" t="str">
        <f aca="false">IF(A311="","",IFERROR(INDEX(Customers!$E$5:$E$204,MATCH(C311,Customers!$A$5:$A$204,0)),"?"))</f>
        <v/>
      </c>
      <c r="O311" s="38" t="str">
        <f aca="false">IF(A311="","",IF(N311=Settings!$B$17,"No","Yes"))</f>
        <v/>
      </c>
      <c r="P311" s="35" t="n">
        <f aca="false">IF(O311="Yes",ROUND(L311*M311,2),0)</f>
        <v>0</v>
      </c>
      <c r="Q311" s="35" t="n">
        <f aca="false">IF(O311="No",ROUND(L311*M311/2,2),0)</f>
        <v>0</v>
      </c>
      <c r="R311" s="35" t="n">
        <f aca="false">Q311</f>
        <v>0</v>
      </c>
      <c r="S311" s="35" t="n">
        <f aca="false">L311+P311+Q311+R311</f>
        <v>0</v>
      </c>
      <c r="T311" s="34" t="str">
        <f aca="false">IF(A311="","",IFERROR(INDEX(Customers!$B$5:$B$204,MATCH(C311,Customers!$A$5:$A$204,0))&amp;"",""))</f>
        <v/>
      </c>
      <c r="U311" s="38" t="str">
        <f aca="false">IF(A311="","",IF(T311&lt;&gt;"","B2B",IF(AND(O311="Yes",SUMIF($A$5:$A$1004,A311,$L$5:$L$1004)+SUMIF($A$5:$A$1004,A311,$P$5:$P$1004)&gt;100000),"B2CL","B2CS")))</f>
        <v/>
      </c>
      <c r="V311" s="17" t="str">
        <f aca="false">IF(A311="","",TEXT(B311,"mmm-yyyy"))</f>
        <v/>
      </c>
    </row>
    <row r="312" customFormat="false" ht="15" hidden="false" customHeight="true" outlineLevel="0" collapsed="false">
      <c r="A312" s="24"/>
      <c r="B312" s="39"/>
      <c r="C312" s="24"/>
      <c r="D312" s="24"/>
      <c r="E312" s="40"/>
      <c r="F312" s="29"/>
      <c r="G312" s="30"/>
      <c r="H312" s="17" t="str">
        <f aca="false">IF(A312="","",A312&amp;"|"&amp;COUNTIF(A$5:A312,A312))</f>
        <v/>
      </c>
      <c r="I312" s="33" t="str">
        <f aca="false">IF(A312="","",IFERROR(INDEX(Items!$B$5:$B$304,MATCH(D312,Items!$A$5:$A$304,0))&amp;"",""))</f>
        <v/>
      </c>
      <c r="J312" s="34" t="str">
        <f aca="false">IF(A312="","",IFERROR(INDEX(Items!$C$5:$C$304,MATCH(D312,Items!$A$5:$A$304,0))&amp;"",""))</f>
        <v/>
      </c>
      <c r="K312" s="35" t="n">
        <f aca="false">IF(A312="",0,IF(ISNUMBER(F312),F312,IFERROR(INDEX(Items!$D$5:$D$304,MATCH(D312,Items!$A$5:$A$304,0)),0)))</f>
        <v>0</v>
      </c>
      <c r="L312" s="35" t="n">
        <f aca="false">ROUND(N(E312)*K312*(1-N(G312)),2)</f>
        <v>0</v>
      </c>
      <c r="M312" s="36" t="n">
        <f aca="false">IF(A312="",0,IFERROR(INDEX(Items!$E$5:$E$304,MATCH(D312,Items!$A$5:$A$304,0)),0))</f>
        <v>0</v>
      </c>
      <c r="N312" s="37" t="str">
        <f aca="false">IF(A312="","",IFERROR(INDEX(Customers!$E$5:$E$204,MATCH(C312,Customers!$A$5:$A$204,0)),"?"))</f>
        <v/>
      </c>
      <c r="O312" s="38" t="str">
        <f aca="false">IF(A312="","",IF(N312=Settings!$B$17,"No","Yes"))</f>
        <v/>
      </c>
      <c r="P312" s="35" t="n">
        <f aca="false">IF(O312="Yes",ROUND(L312*M312,2),0)</f>
        <v>0</v>
      </c>
      <c r="Q312" s="35" t="n">
        <f aca="false">IF(O312="No",ROUND(L312*M312/2,2),0)</f>
        <v>0</v>
      </c>
      <c r="R312" s="35" t="n">
        <f aca="false">Q312</f>
        <v>0</v>
      </c>
      <c r="S312" s="35" t="n">
        <f aca="false">L312+P312+Q312+R312</f>
        <v>0</v>
      </c>
      <c r="T312" s="34" t="str">
        <f aca="false">IF(A312="","",IFERROR(INDEX(Customers!$B$5:$B$204,MATCH(C312,Customers!$A$5:$A$204,0))&amp;"",""))</f>
        <v/>
      </c>
      <c r="U312" s="38" t="str">
        <f aca="false">IF(A312="","",IF(T312&lt;&gt;"","B2B",IF(AND(O312="Yes",SUMIF($A$5:$A$1004,A312,$L$5:$L$1004)+SUMIF($A$5:$A$1004,A312,$P$5:$P$1004)&gt;100000),"B2CL","B2CS")))</f>
        <v/>
      </c>
      <c r="V312" s="17" t="str">
        <f aca="false">IF(A312="","",TEXT(B312,"mmm-yyyy"))</f>
        <v/>
      </c>
    </row>
    <row r="313" customFormat="false" ht="15" hidden="false" customHeight="true" outlineLevel="0" collapsed="false">
      <c r="A313" s="24"/>
      <c r="B313" s="39"/>
      <c r="C313" s="24"/>
      <c r="D313" s="24"/>
      <c r="E313" s="40"/>
      <c r="F313" s="29"/>
      <c r="G313" s="30"/>
      <c r="H313" s="17" t="str">
        <f aca="false">IF(A313="","",A313&amp;"|"&amp;COUNTIF(A$5:A313,A313))</f>
        <v/>
      </c>
      <c r="I313" s="33" t="str">
        <f aca="false">IF(A313="","",IFERROR(INDEX(Items!$B$5:$B$304,MATCH(D313,Items!$A$5:$A$304,0))&amp;"",""))</f>
        <v/>
      </c>
      <c r="J313" s="34" t="str">
        <f aca="false">IF(A313="","",IFERROR(INDEX(Items!$C$5:$C$304,MATCH(D313,Items!$A$5:$A$304,0))&amp;"",""))</f>
        <v/>
      </c>
      <c r="K313" s="35" t="n">
        <f aca="false">IF(A313="",0,IF(ISNUMBER(F313),F313,IFERROR(INDEX(Items!$D$5:$D$304,MATCH(D313,Items!$A$5:$A$304,0)),0)))</f>
        <v>0</v>
      </c>
      <c r="L313" s="35" t="n">
        <f aca="false">ROUND(N(E313)*K313*(1-N(G313)),2)</f>
        <v>0</v>
      </c>
      <c r="M313" s="36" t="n">
        <f aca="false">IF(A313="",0,IFERROR(INDEX(Items!$E$5:$E$304,MATCH(D313,Items!$A$5:$A$304,0)),0))</f>
        <v>0</v>
      </c>
      <c r="N313" s="37" t="str">
        <f aca="false">IF(A313="","",IFERROR(INDEX(Customers!$E$5:$E$204,MATCH(C313,Customers!$A$5:$A$204,0)),"?"))</f>
        <v/>
      </c>
      <c r="O313" s="38" t="str">
        <f aca="false">IF(A313="","",IF(N313=Settings!$B$17,"No","Yes"))</f>
        <v/>
      </c>
      <c r="P313" s="35" t="n">
        <f aca="false">IF(O313="Yes",ROUND(L313*M313,2),0)</f>
        <v>0</v>
      </c>
      <c r="Q313" s="35" t="n">
        <f aca="false">IF(O313="No",ROUND(L313*M313/2,2),0)</f>
        <v>0</v>
      </c>
      <c r="R313" s="35" t="n">
        <f aca="false">Q313</f>
        <v>0</v>
      </c>
      <c r="S313" s="35" t="n">
        <f aca="false">L313+P313+Q313+R313</f>
        <v>0</v>
      </c>
      <c r="T313" s="34" t="str">
        <f aca="false">IF(A313="","",IFERROR(INDEX(Customers!$B$5:$B$204,MATCH(C313,Customers!$A$5:$A$204,0))&amp;"",""))</f>
        <v/>
      </c>
      <c r="U313" s="38" t="str">
        <f aca="false">IF(A313="","",IF(T313&lt;&gt;"","B2B",IF(AND(O313="Yes",SUMIF($A$5:$A$1004,A313,$L$5:$L$1004)+SUMIF($A$5:$A$1004,A313,$P$5:$P$1004)&gt;100000),"B2CL","B2CS")))</f>
        <v/>
      </c>
      <c r="V313" s="17" t="str">
        <f aca="false">IF(A313="","",TEXT(B313,"mmm-yyyy"))</f>
        <v/>
      </c>
    </row>
    <row r="314" customFormat="false" ht="15" hidden="false" customHeight="true" outlineLevel="0" collapsed="false">
      <c r="A314" s="24"/>
      <c r="B314" s="39"/>
      <c r="C314" s="24"/>
      <c r="D314" s="24"/>
      <c r="E314" s="40"/>
      <c r="F314" s="29"/>
      <c r="G314" s="30"/>
      <c r="H314" s="17" t="str">
        <f aca="false">IF(A314="","",A314&amp;"|"&amp;COUNTIF(A$5:A314,A314))</f>
        <v/>
      </c>
      <c r="I314" s="33" t="str">
        <f aca="false">IF(A314="","",IFERROR(INDEX(Items!$B$5:$B$304,MATCH(D314,Items!$A$5:$A$304,0))&amp;"",""))</f>
        <v/>
      </c>
      <c r="J314" s="34" t="str">
        <f aca="false">IF(A314="","",IFERROR(INDEX(Items!$C$5:$C$304,MATCH(D314,Items!$A$5:$A$304,0))&amp;"",""))</f>
        <v/>
      </c>
      <c r="K314" s="35" t="n">
        <f aca="false">IF(A314="",0,IF(ISNUMBER(F314),F314,IFERROR(INDEX(Items!$D$5:$D$304,MATCH(D314,Items!$A$5:$A$304,0)),0)))</f>
        <v>0</v>
      </c>
      <c r="L314" s="35" t="n">
        <f aca="false">ROUND(N(E314)*K314*(1-N(G314)),2)</f>
        <v>0</v>
      </c>
      <c r="M314" s="36" t="n">
        <f aca="false">IF(A314="",0,IFERROR(INDEX(Items!$E$5:$E$304,MATCH(D314,Items!$A$5:$A$304,0)),0))</f>
        <v>0</v>
      </c>
      <c r="N314" s="37" t="str">
        <f aca="false">IF(A314="","",IFERROR(INDEX(Customers!$E$5:$E$204,MATCH(C314,Customers!$A$5:$A$204,0)),"?"))</f>
        <v/>
      </c>
      <c r="O314" s="38" t="str">
        <f aca="false">IF(A314="","",IF(N314=Settings!$B$17,"No","Yes"))</f>
        <v/>
      </c>
      <c r="P314" s="35" t="n">
        <f aca="false">IF(O314="Yes",ROUND(L314*M314,2),0)</f>
        <v>0</v>
      </c>
      <c r="Q314" s="35" t="n">
        <f aca="false">IF(O314="No",ROUND(L314*M314/2,2),0)</f>
        <v>0</v>
      </c>
      <c r="R314" s="35" t="n">
        <f aca="false">Q314</f>
        <v>0</v>
      </c>
      <c r="S314" s="35" t="n">
        <f aca="false">L314+P314+Q314+R314</f>
        <v>0</v>
      </c>
      <c r="T314" s="34" t="str">
        <f aca="false">IF(A314="","",IFERROR(INDEX(Customers!$B$5:$B$204,MATCH(C314,Customers!$A$5:$A$204,0))&amp;"",""))</f>
        <v/>
      </c>
      <c r="U314" s="38" t="str">
        <f aca="false">IF(A314="","",IF(T314&lt;&gt;"","B2B",IF(AND(O314="Yes",SUMIF($A$5:$A$1004,A314,$L$5:$L$1004)+SUMIF($A$5:$A$1004,A314,$P$5:$P$1004)&gt;100000),"B2CL","B2CS")))</f>
        <v/>
      </c>
      <c r="V314" s="17" t="str">
        <f aca="false">IF(A314="","",TEXT(B314,"mmm-yyyy"))</f>
        <v/>
      </c>
    </row>
    <row r="315" customFormat="false" ht="15" hidden="false" customHeight="true" outlineLevel="0" collapsed="false">
      <c r="A315" s="24"/>
      <c r="B315" s="39"/>
      <c r="C315" s="24"/>
      <c r="D315" s="24"/>
      <c r="E315" s="40"/>
      <c r="F315" s="29"/>
      <c r="G315" s="30"/>
      <c r="H315" s="17" t="str">
        <f aca="false">IF(A315="","",A315&amp;"|"&amp;COUNTIF(A$5:A315,A315))</f>
        <v/>
      </c>
      <c r="I315" s="33" t="str">
        <f aca="false">IF(A315="","",IFERROR(INDEX(Items!$B$5:$B$304,MATCH(D315,Items!$A$5:$A$304,0))&amp;"",""))</f>
        <v/>
      </c>
      <c r="J315" s="34" t="str">
        <f aca="false">IF(A315="","",IFERROR(INDEX(Items!$C$5:$C$304,MATCH(D315,Items!$A$5:$A$304,0))&amp;"",""))</f>
        <v/>
      </c>
      <c r="K315" s="35" t="n">
        <f aca="false">IF(A315="",0,IF(ISNUMBER(F315),F315,IFERROR(INDEX(Items!$D$5:$D$304,MATCH(D315,Items!$A$5:$A$304,0)),0)))</f>
        <v>0</v>
      </c>
      <c r="L315" s="35" t="n">
        <f aca="false">ROUND(N(E315)*K315*(1-N(G315)),2)</f>
        <v>0</v>
      </c>
      <c r="M315" s="36" t="n">
        <f aca="false">IF(A315="",0,IFERROR(INDEX(Items!$E$5:$E$304,MATCH(D315,Items!$A$5:$A$304,0)),0))</f>
        <v>0</v>
      </c>
      <c r="N315" s="37" t="str">
        <f aca="false">IF(A315="","",IFERROR(INDEX(Customers!$E$5:$E$204,MATCH(C315,Customers!$A$5:$A$204,0)),"?"))</f>
        <v/>
      </c>
      <c r="O315" s="38" t="str">
        <f aca="false">IF(A315="","",IF(N315=Settings!$B$17,"No","Yes"))</f>
        <v/>
      </c>
      <c r="P315" s="35" t="n">
        <f aca="false">IF(O315="Yes",ROUND(L315*M315,2),0)</f>
        <v>0</v>
      </c>
      <c r="Q315" s="35" t="n">
        <f aca="false">IF(O315="No",ROUND(L315*M315/2,2),0)</f>
        <v>0</v>
      </c>
      <c r="R315" s="35" t="n">
        <f aca="false">Q315</f>
        <v>0</v>
      </c>
      <c r="S315" s="35" t="n">
        <f aca="false">L315+P315+Q315+R315</f>
        <v>0</v>
      </c>
      <c r="T315" s="34" t="str">
        <f aca="false">IF(A315="","",IFERROR(INDEX(Customers!$B$5:$B$204,MATCH(C315,Customers!$A$5:$A$204,0))&amp;"",""))</f>
        <v/>
      </c>
      <c r="U315" s="38" t="str">
        <f aca="false">IF(A315="","",IF(T315&lt;&gt;"","B2B",IF(AND(O315="Yes",SUMIF($A$5:$A$1004,A315,$L$5:$L$1004)+SUMIF($A$5:$A$1004,A315,$P$5:$P$1004)&gt;100000),"B2CL","B2CS")))</f>
        <v/>
      </c>
      <c r="V315" s="17" t="str">
        <f aca="false">IF(A315="","",TEXT(B315,"mmm-yyyy"))</f>
        <v/>
      </c>
    </row>
    <row r="316" customFormat="false" ht="15" hidden="false" customHeight="true" outlineLevel="0" collapsed="false">
      <c r="A316" s="24"/>
      <c r="B316" s="39"/>
      <c r="C316" s="24"/>
      <c r="D316" s="24"/>
      <c r="E316" s="40"/>
      <c r="F316" s="29"/>
      <c r="G316" s="30"/>
      <c r="H316" s="17" t="str">
        <f aca="false">IF(A316="","",A316&amp;"|"&amp;COUNTIF(A$5:A316,A316))</f>
        <v/>
      </c>
      <c r="I316" s="33" t="str">
        <f aca="false">IF(A316="","",IFERROR(INDEX(Items!$B$5:$B$304,MATCH(D316,Items!$A$5:$A$304,0))&amp;"",""))</f>
        <v/>
      </c>
      <c r="J316" s="34" t="str">
        <f aca="false">IF(A316="","",IFERROR(INDEX(Items!$C$5:$C$304,MATCH(D316,Items!$A$5:$A$304,0))&amp;"",""))</f>
        <v/>
      </c>
      <c r="K316" s="35" t="n">
        <f aca="false">IF(A316="",0,IF(ISNUMBER(F316),F316,IFERROR(INDEX(Items!$D$5:$D$304,MATCH(D316,Items!$A$5:$A$304,0)),0)))</f>
        <v>0</v>
      </c>
      <c r="L316" s="35" t="n">
        <f aca="false">ROUND(N(E316)*K316*(1-N(G316)),2)</f>
        <v>0</v>
      </c>
      <c r="M316" s="36" t="n">
        <f aca="false">IF(A316="",0,IFERROR(INDEX(Items!$E$5:$E$304,MATCH(D316,Items!$A$5:$A$304,0)),0))</f>
        <v>0</v>
      </c>
      <c r="N316" s="37" t="str">
        <f aca="false">IF(A316="","",IFERROR(INDEX(Customers!$E$5:$E$204,MATCH(C316,Customers!$A$5:$A$204,0)),"?"))</f>
        <v/>
      </c>
      <c r="O316" s="38" t="str">
        <f aca="false">IF(A316="","",IF(N316=Settings!$B$17,"No","Yes"))</f>
        <v/>
      </c>
      <c r="P316" s="35" t="n">
        <f aca="false">IF(O316="Yes",ROUND(L316*M316,2),0)</f>
        <v>0</v>
      </c>
      <c r="Q316" s="35" t="n">
        <f aca="false">IF(O316="No",ROUND(L316*M316/2,2),0)</f>
        <v>0</v>
      </c>
      <c r="R316" s="35" t="n">
        <f aca="false">Q316</f>
        <v>0</v>
      </c>
      <c r="S316" s="35" t="n">
        <f aca="false">L316+P316+Q316+R316</f>
        <v>0</v>
      </c>
      <c r="T316" s="34" t="str">
        <f aca="false">IF(A316="","",IFERROR(INDEX(Customers!$B$5:$B$204,MATCH(C316,Customers!$A$5:$A$204,0))&amp;"",""))</f>
        <v/>
      </c>
      <c r="U316" s="38" t="str">
        <f aca="false">IF(A316="","",IF(T316&lt;&gt;"","B2B",IF(AND(O316="Yes",SUMIF($A$5:$A$1004,A316,$L$5:$L$1004)+SUMIF($A$5:$A$1004,A316,$P$5:$P$1004)&gt;100000),"B2CL","B2CS")))</f>
        <v/>
      </c>
      <c r="V316" s="17" t="str">
        <f aca="false">IF(A316="","",TEXT(B316,"mmm-yyyy"))</f>
        <v/>
      </c>
    </row>
    <row r="317" customFormat="false" ht="15" hidden="false" customHeight="true" outlineLevel="0" collapsed="false">
      <c r="A317" s="24"/>
      <c r="B317" s="39"/>
      <c r="C317" s="24"/>
      <c r="D317" s="24"/>
      <c r="E317" s="40"/>
      <c r="F317" s="29"/>
      <c r="G317" s="30"/>
      <c r="H317" s="17" t="str">
        <f aca="false">IF(A317="","",A317&amp;"|"&amp;COUNTIF(A$5:A317,A317))</f>
        <v/>
      </c>
      <c r="I317" s="33" t="str">
        <f aca="false">IF(A317="","",IFERROR(INDEX(Items!$B$5:$B$304,MATCH(D317,Items!$A$5:$A$304,0))&amp;"",""))</f>
        <v/>
      </c>
      <c r="J317" s="34" t="str">
        <f aca="false">IF(A317="","",IFERROR(INDEX(Items!$C$5:$C$304,MATCH(D317,Items!$A$5:$A$304,0))&amp;"",""))</f>
        <v/>
      </c>
      <c r="K317" s="35" t="n">
        <f aca="false">IF(A317="",0,IF(ISNUMBER(F317),F317,IFERROR(INDEX(Items!$D$5:$D$304,MATCH(D317,Items!$A$5:$A$304,0)),0)))</f>
        <v>0</v>
      </c>
      <c r="L317" s="35" t="n">
        <f aca="false">ROUND(N(E317)*K317*(1-N(G317)),2)</f>
        <v>0</v>
      </c>
      <c r="M317" s="36" t="n">
        <f aca="false">IF(A317="",0,IFERROR(INDEX(Items!$E$5:$E$304,MATCH(D317,Items!$A$5:$A$304,0)),0))</f>
        <v>0</v>
      </c>
      <c r="N317" s="37" t="str">
        <f aca="false">IF(A317="","",IFERROR(INDEX(Customers!$E$5:$E$204,MATCH(C317,Customers!$A$5:$A$204,0)),"?"))</f>
        <v/>
      </c>
      <c r="O317" s="38" t="str">
        <f aca="false">IF(A317="","",IF(N317=Settings!$B$17,"No","Yes"))</f>
        <v/>
      </c>
      <c r="P317" s="35" t="n">
        <f aca="false">IF(O317="Yes",ROUND(L317*M317,2),0)</f>
        <v>0</v>
      </c>
      <c r="Q317" s="35" t="n">
        <f aca="false">IF(O317="No",ROUND(L317*M317/2,2),0)</f>
        <v>0</v>
      </c>
      <c r="R317" s="35" t="n">
        <f aca="false">Q317</f>
        <v>0</v>
      </c>
      <c r="S317" s="35" t="n">
        <f aca="false">L317+P317+Q317+R317</f>
        <v>0</v>
      </c>
      <c r="T317" s="34" t="str">
        <f aca="false">IF(A317="","",IFERROR(INDEX(Customers!$B$5:$B$204,MATCH(C317,Customers!$A$5:$A$204,0))&amp;"",""))</f>
        <v/>
      </c>
      <c r="U317" s="38" t="str">
        <f aca="false">IF(A317="","",IF(T317&lt;&gt;"","B2B",IF(AND(O317="Yes",SUMIF($A$5:$A$1004,A317,$L$5:$L$1004)+SUMIF($A$5:$A$1004,A317,$P$5:$P$1004)&gt;100000),"B2CL","B2CS")))</f>
        <v/>
      </c>
      <c r="V317" s="17" t="str">
        <f aca="false">IF(A317="","",TEXT(B317,"mmm-yyyy"))</f>
        <v/>
      </c>
    </row>
    <row r="318" customFormat="false" ht="15" hidden="false" customHeight="true" outlineLevel="0" collapsed="false">
      <c r="A318" s="24"/>
      <c r="B318" s="39"/>
      <c r="C318" s="24"/>
      <c r="D318" s="24"/>
      <c r="E318" s="40"/>
      <c r="F318" s="29"/>
      <c r="G318" s="30"/>
      <c r="H318" s="17" t="str">
        <f aca="false">IF(A318="","",A318&amp;"|"&amp;COUNTIF(A$5:A318,A318))</f>
        <v/>
      </c>
      <c r="I318" s="33" t="str">
        <f aca="false">IF(A318="","",IFERROR(INDEX(Items!$B$5:$B$304,MATCH(D318,Items!$A$5:$A$304,0))&amp;"",""))</f>
        <v/>
      </c>
      <c r="J318" s="34" t="str">
        <f aca="false">IF(A318="","",IFERROR(INDEX(Items!$C$5:$C$304,MATCH(D318,Items!$A$5:$A$304,0))&amp;"",""))</f>
        <v/>
      </c>
      <c r="K318" s="35" t="n">
        <f aca="false">IF(A318="",0,IF(ISNUMBER(F318),F318,IFERROR(INDEX(Items!$D$5:$D$304,MATCH(D318,Items!$A$5:$A$304,0)),0)))</f>
        <v>0</v>
      </c>
      <c r="L318" s="35" t="n">
        <f aca="false">ROUND(N(E318)*K318*(1-N(G318)),2)</f>
        <v>0</v>
      </c>
      <c r="M318" s="36" t="n">
        <f aca="false">IF(A318="",0,IFERROR(INDEX(Items!$E$5:$E$304,MATCH(D318,Items!$A$5:$A$304,0)),0))</f>
        <v>0</v>
      </c>
      <c r="N318" s="37" t="str">
        <f aca="false">IF(A318="","",IFERROR(INDEX(Customers!$E$5:$E$204,MATCH(C318,Customers!$A$5:$A$204,0)),"?"))</f>
        <v/>
      </c>
      <c r="O318" s="38" t="str">
        <f aca="false">IF(A318="","",IF(N318=Settings!$B$17,"No","Yes"))</f>
        <v/>
      </c>
      <c r="P318" s="35" t="n">
        <f aca="false">IF(O318="Yes",ROUND(L318*M318,2),0)</f>
        <v>0</v>
      </c>
      <c r="Q318" s="35" t="n">
        <f aca="false">IF(O318="No",ROUND(L318*M318/2,2),0)</f>
        <v>0</v>
      </c>
      <c r="R318" s="35" t="n">
        <f aca="false">Q318</f>
        <v>0</v>
      </c>
      <c r="S318" s="35" t="n">
        <f aca="false">L318+P318+Q318+R318</f>
        <v>0</v>
      </c>
      <c r="T318" s="34" t="str">
        <f aca="false">IF(A318="","",IFERROR(INDEX(Customers!$B$5:$B$204,MATCH(C318,Customers!$A$5:$A$204,0))&amp;"",""))</f>
        <v/>
      </c>
      <c r="U318" s="38" t="str">
        <f aca="false">IF(A318="","",IF(T318&lt;&gt;"","B2B",IF(AND(O318="Yes",SUMIF($A$5:$A$1004,A318,$L$5:$L$1004)+SUMIF($A$5:$A$1004,A318,$P$5:$P$1004)&gt;100000),"B2CL","B2CS")))</f>
        <v/>
      </c>
      <c r="V318" s="17" t="str">
        <f aca="false">IF(A318="","",TEXT(B318,"mmm-yyyy"))</f>
        <v/>
      </c>
    </row>
    <row r="319" customFormat="false" ht="15" hidden="false" customHeight="true" outlineLevel="0" collapsed="false">
      <c r="A319" s="24"/>
      <c r="B319" s="39"/>
      <c r="C319" s="24"/>
      <c r="D319" s="24"/>
      <c r="E319" s="40"/>
      <c r="F319" s="29"/>
      <c r="G319" s="30"/>
      <c r="H319" s="17" t="str">
        <f aca="false">IF(A319="","",A319&amp;"|"&amp;COUNTIF(A$5:A319,A319))</f>
        <v/>
      </c>
      <c r="I319" s="33" t="str">
        <f aca="false">IF(A319="","",IFERROR(INDEX(Items!$B$5:$B$304,MATCH(D319,Items!$A$5:$A$304,0))&amp;"",""))</f>
        <v/>
      </c>
      <c r="J319" s="34" t="str">
        <f aca="false">IF(A319="","",IFERROR(INDEX(Items!$C$5:$C$304,MATCH(D319,Items!$A$5:$A$304,0))&amp;"",""))</f>
        <v/>
      </c>
      <c r="K319" s="35" t="n">
        <f aca="false">IF(A319="",0,IF(ISNUMBER(F319),F319,IFERROR(INDEX(Items!$D$5:$D$304,MATCH(D319,Items!$A$5:$A$304,0)),0)))</f>
        <v>0</v>
      </c>
      <c r="L319" s="35" t="n">
        <f aca="false">ROUND(N(E319)*K319*(1-N(G319)),2)</f>
        <v>0</v>
      </c>
      <c r="M319" s="36" t="n">
        <f aca="false">IF(A319="",0,IFERROR(INDEX(Items!$E$5:$E$304,MATCH(D319,Items!$A$5:$A$304,0)),0))</f>
        <v>0</v>
      </c>
      <c r="N319" s="37" t="str">
        <f aca="false">IF(A319="","",IFERROR(INDEX(Customers!$E$5:$E$204,MATCH(C319,Customers!$A$5:$A$204,0)),"?"))</f>
        <v/>
      </c>
      <c r="O319" s="38" t="str">
        <f aca="false">IF(A319="","",IF(N319=Settings!$B$17,"No","Yes"))</f>
        <v/>
      </c>
      <c r="P319" s="35" t="n">
        <f aca="false">IF(O319="Yes",ROUND(L319*M319,2),0)</f>
        <v>0</v>
      </c>
      <c r="Q319" s="35" t="n">
        <f aca="false">IF(O319="No",ROUND(L319*M319/2,2),0)</f>
        <v>0</v>
      </c>
      <c r="R319" s="35" t="n">
        <f aca="false">Q319</f>
        <v>0</v>
      </c>
      <c r="S319" s="35" t="n">
        <f aca="false">L319+P319+Q319+R319</f>
        <v>0</v>
      </c>
      <c r="T319" s="34" t="str">
        <f aca="false">IF(A319="","",IFERROR(INDEX(Customers!$B$5:$B$204,MATCH(C319,Customers!$A$5:$A$204,0))&amp;"",""))</f>
        <v/>
      </c>
      <c r="U319" s="38" t="str">
        <f aca="false">IF(A319="","",IF(T319&lt;&gt;"","B2B",IF(AND(O319="Yes",SUMIF($A$5:$A$1004,A319,$L$5:$L$1004)+SUMIF($A$5:$A$1004,A319,$P$5:$P$1004)&gt;100000),"B2CL","B2CS")))</f>
        <v/>
      </c>
      <c r="V319" s="17" t="str">
        <f aca="false">IF(A319="","",TEXT(B319,"mmm-yyyy"))</f>
        <v/>
      </c>
    </row>
    <row r="320" customFormat="false" ht="15" hidden="false" customHeight="true" outlineLevel="0" collapsed="false">
      <c r="A320" s="24"/>
      <c r="B320" s="39"/>
      <c r="C320" s="24"/>
      <c r="D320" s="24"/>
      <c r="E320" s="40"/>
      <c r="F320" s="29"/>
      <c r="G320" s="30"/>
      <c r="H320" s="17" t="str">
        <f aca="false">IF(A320="","",A320&amp;"|"&amp;COUNTIF(A$5:A320,A320))</f>
        <v/>
      </c>
      <c r="I320" s="33" t="str">
        <f aca="false">IF(A320="","",IFERROR(INDEX(Items!$B$5:$B$304,MATCH(D320,Items!$A$5:$A$304,0))&amp;"",""))</f>
        <v/>
      </c>
      <c r="J320" s="34" t="str">
        <f aca="false">IF(A320="","",IFERROR(INDEX(Items!$C$5:$C$304,MATCH(D320,Items!$A$5:$A$304,0))&amp;"",""))</f>
        <v/>
      </c>
      <c r="K320" s="35" t="n">
        <f aca="false">IF(A320="",0,IF(ISNUMBER(F320),F320,IFERROR(INDEX(Items!$D$5:$D$304,MATCH(D320,Items!$A$5:$A$304,0)),0)))</f>
        <v>0</v>
      </c>
      <c r="L320" s="35" t="n">
        <f aca="false">ROUND(N(E320)*K320*(1-N(G320)),2)</f>
        <v>0</v>
      </c>
      <c r="M320" s="36" t="n">
        <f aca="false">IF(A320="",0,IFERROR(INDEX(Items!$E$5:$E$304,MATCH(D320,Items!$A$5:$A$304,0)),0))</f>
        <v>0</v>
      </c>
      <c r="N320" s="37" t="str">
        <f aca="false">IF(A320="","",IFERROR(INDEX(Customers!$E$5:$E$204,MATCH(C320,Customers!$A$5:$A$204,0)),"?"))</f>
        <v/>
      </c>
      <c r="O320" s="38" t="str">
        <f aca="false">IF(A320="","",IF(N320=Settings!$B$17,"No","Yes"))</f>
        <v/>
      </c>
      <c r="P320" s="35" t="n">
        <f aca="false">IF(O320="Yes",ROUND(L320*M320,2),0)</f>
        <v>0</v>
      </c>
      <c r="Q320" s="35" t="n">
        <f aca="false">IF(O320="No",ROUND(L320*M320/2,2),0)</f>
        <v>0</v>
      </c>
      <c r="R320" s="35" t="n">
        <f aca="false">Q320</f>
        <v>0</v>
      </c>
      <c r="S320" s="35" t="n">
        <f aca="false">L320+P320+Q320+R320</f>
        <v>0</v>
      </c>
      <c r="T320" s="34" t="str">
        <f aca="false">IF(A320="","",IFERROR(INDEX(Customers!$B$5:$B$204,MATCH(C320,Customers!$A$5:$A$204,0))&amp;"",""))</f>
        <v/>
      </c>
      <c r="U320" s="38" t="str">
        <f aca="false">IF(A320="","",IF(T320&lt;&gt;"","B2B",IF(AND(O320="Yes",SUMIF($A$5:$A$1004,A320,$L$5:$L$1004)+SUMIF($A$5:$A$1004,A320,$P$5:$P$1004)&gt;100000),"B2CL","B2CS")))</f>
        <v/>
      </c>
      <c r="V320" s="17" t="str">
        <f aca="false">IF(A320="","",TEXT(B320,"mmm-yyyy"))</f>
        <v/>
      </c>
    </row>
    <row r="321" customFormat="false" ht="15" hidden="false" customHeight="true" outlineLevel="0" collapsed="false">
      <c r="A321" s="24"/>
      <c r="B321" s="39"/>
      <c r="C321" s="24"/>
      <c r="D321" s="24"/>
      <c r="E321" s="40"/>
      <c r="F321" s="29"/>
      <c r="G321" s="30"/>
      <c r="H321" s="17" t="str">
        <f aca="false">IF(A321="","",A321&amp;"|"&amp;COUNTIF(A$5:A321,A321))</f>
        <v/>
      </c>
      <c r="I321" s="33" t="str">
        <f aca="false">IF(A321="","",IFERROR(INDEX(Items!$B$5:$B$304,MATCH(D321,Items!$A$5:$A$304,0))&amp;"",""))</f>
        <v/>
      </c>
      <c r="J321" s="34" t="str">
        <f aca="false">IF(A321="","",IFERROR(INDEX(Items!$C$5:$C$304,MATCH(D321,Items!$A$5:$A$304,0))&amp;"",""))</f>
        <v/>
      </c>
      <c r="K321" s="35" t="n">
        <f aca="false">IF(A321="",0,IF(ISNUMBER(F321),F321,IFERROR(INDEX(Items!$D$5:$D$304,MATCH(D321,Items!$A$5:$A$304,0)),0)))</f>
        <v>0</v>
      </c>
      <c r="L321" s="35" t="n">
        <f aca="false">ROUND(N(E321)*K321*(1-N(G321)),2)</f>
        <v>0</v>
      </c>
      <c r="M321" s="36" t="n">
        <f aca="false">IF(A321="",0,IFERROR(INDEX(Items!$E$5:$E$304,MATCH(D321,Items!$A$5:$A$304,0)),0))</f>
        <v>0</v>
      </c>
      <c r="N321" s="37" t="str">
        <f aca="false">IF(A321="","",IFERROR(INDEX(Customers!$E$5:$E$204,MATCH(C321,Customers!$A$5:$A$204,0)),"?"))</f>
        <v/>
      </c>
      <c r="O321" s="38" t="str">
        <f aca="false">IF(A321="","",IF(N321=Settings!$B$17,"No","Yes"))</f>
        <v/>
      </c>
      <c r="P321" s="35" t="n">
        <f aca="false">IF(O321="Yes",ROUND(L321*M321,2),0)</f>
        <v>0</v>
      </c>
      <c r="Q321" s="35" t="n">
        <f aca="false">IF(O321="No",ROUND(L321*M321/2,2),0)</f>
        <v>0</v>
      </c>
      <c r="R321" s="35" t="n">
        <f aca="false">Q321</f>
        <v>0</v>
      </c>
      <c r="S321" s="35" t="n">
        <f aca="false">L321+P321+Q321+R321</f>
        <v>0</v>
      </c>
      <c r="T321" s="34" t="str">
        <f aca="false">IF(A321="","",IFERROR(INDEX(Customers!$B$5:$B$204,MATCH(C321,Customers!$A$5:$A$204,0))&amp;"",""))</f>
        <v/>
      </c>
      <c r="U321" s="38" t="str">
        <f aca="false">IF(A321="","",IF(T321&lt;&gt;"","B2B",IF(AND(O321="Yes",SUMIF($A$5:$A$1004,A321,$L$5:$L$1004)+SUMIF($A$5:$A$1004,A321,$P$5:$P$1004)&gt;100000),"B2CL","B2CS")))</f>
        <v/>
      </c>
      <c r="V321" s="17" t="str">
        <f aca="false">IF(A321="","",TEXT(B321,"mmm-yyyy"))</f>
        <v/>
      </c>
    </row>
    <row r="322" customFormat="false" ht="15" hidden="false" customHeight="true" outlineLevel="0" collapsed="false">
      <c r="A322" s="24"/>
      <c r="B322" s="39"/>
      <c r="C322" s="24"/>
      <c r="D322" s="24"/>
      <c r="E322" s="40"/>
      <c r="F322" s="29"/>
      <c r="G322" s="30"/>
      <c r="H322" s="17" t="str">
        <f aca="false">IF(A322="","",A322&amp;"|"&amp;COUNTIF(A$5:A322,A322))</f>
        <v/>
      </c>
      <c r="I322" s="33" t="str">
        <f aca="false">IF(A322="","",IFERROR(INDEX(Items!$B$5:$B$304,MATCH(D322,Items!$A$5:$A$304,0))&amp;"",""))</f>
        <v/>
      </c>
      <c r="J322" s="34" t="str">
        <f aca="false">IF(A322="","",IFERROR(INDEX(Items!$C$5:$C$304,MATCH(D322,Items!$A$5:$A$304,0))&amp;"",""))</f>
        <v/>
      </c>
      <c r="K322" s="35" t="n">
        <f aca="false">IF(A322="",0,IF(ISNUMBER(F322),F322,IFERROR(INDEX(Items!$D$5:$D$304,MATCH(D322,Items!$A$5:$A$304,0)),0)))</f>
        <v>0</v>
      </c>
      <c r="L322" s="35" t="n">
        <f aca="false">ROUND(N(E322)*K322*(1-N(G322)),2)</f>
        <v>0</v>
      </c>
      <c r="M322" s="36" t="n">
        <f aca="false">IF(A322="",0,IFERROR(INDEX(Items!$E$5:$E$304,MATCH(D322,Items!$A$5:$A$304,0)),0))</f>
        <v>0</v>
      </c>
      <c r="N322" s="37" t="str">
        <f aca="false">IF(A322="","",IFERROR(INDEX(Customers!$E$5:$E$204,MATCH(C322,Customers!$A$5:$A$204,0)),"?"))</f>
        <v/>
      </c>
      <c r="O322" s="38" t="str">
        <f aca="false">IF(A322="","",IF(N322=Settings!$B$17,"No","Yes"))</f>
        <v/>
      </c>
      <c r="P322" s="35" t="n">
        <f aca="false">IF(O322="Yes",ROUND(L322*M322,2),0)</f>
        <v>0</v>
      </c>
      <c r="Q322" s="35" t="n">
        <f aca="false">IF(O322="No",ROUND(L322*M322/2,2),0)</f>
        <v>0</v>
      </c>
      <c r="R322" s="35" t="n">
        <f aca="false">Q322</f>
        <v>0</v>
      </c>
      <c r="S322" s="35" t="n">
        <f aca="false">L322+P322+Q322+R322</f>
        <v>0</v>
      </c>
      <c r="T322" s="34" t="str">
        <f aca="false">IF(A322="","",IFERROR(INDEX(Customers!$B$5:$B$204,MATCH(C322,Customers!$A$5:$A$204,0))&amp;"",""))</f>
        <v/>
      </c>
      <c r="U322" s="38" t="str">
        <f aca="false">IF(A322="","",IF(T322&lt;&gt;"","B2B",IF(AND(O322="Yes",SUMIF($A$5:$A$1004,A322,$L$5:$L$1004)+SUMIF($A$5:$A$1004,A322,$P$5:$P$1004)&gt;100000),"B2CL","B2CS")))</f>
        <v/>
      </c>
      <c r="V322" s="17" t="str">
        <f aca="false">IF(A322="","",TEXT(B322,"mmm-yyyy"))</f>
        <v/>
      </c>
    </row>
    <row r="323" customFormat="false" ht="15" hidden="false" customHeight="true" outlineLevel="0" collapsed="false">
      <c r="A323" s="24"/>
      <c r="B323" s="39"/>
      <c r="C323" s="24"/>
      <c r="D323" s="24"/>
      <c r="E323" s="40"/>
      <c r="F323" s="29"/>
      <c r="G323" s="30"/>
      <c r="H323" s="17" t="str">
        <f aca="false">IF(A323="","",A323&amp;"|"&amp;COUNTIF(A$5:A323,A323))</f>
        <v/>
      </c>
      <c r="I323" s="33" t="str">
        <f aca="false">IF(A323="","",IFERROR(INDEX(Items!$B$5:$B$304,MATCH(D323,Items!$A$5:$A$304,0))&amp;"",""))</f>
        <v/>
      </c>
      <c r="J323" s="34" t="str">
        <f aca="false">IF(A323="","",IFERROR(INDEX(Items!$C$5:$C$304,MATCH(D323,Items!$A$5:$A$304,0))&amp;"",""))</f>
        <v/>
      </c>
      <c r="K323" s="35" t="n">
        <f aca="false">IF(A323="",0,IF(ISNUMBER(F323),F323,IFERROR(INDEX(Items!$D$5:$D$304,MATCH(D323,Items!$A$5:$A$304,0)),0)))</f>
        <v>0</v>
      </c>
      <c r="L323" s="35" t="n">
        <f aca="false">ROUND(N(E323)*K323*(1-N(G323)),2)</f>
        <v>0</v>
      </c>
      <c r="M323" s="36" t="n">
        <f aca="false">IF(A323="",0,IFERROR(INDEX(Items!$E$5:$E$304,MATCH(D323,Items!$A$5:$A$304,0)),0))</f>
        <v>0</v>
      </c>
      <c r="N323" s="37" t="str">
        <f aca="false">IF(A323="","",IFERROR(INDEX(Customers!$E$5:$E$204,MATCH(C323,Customers!$A$5:$A$204,0)),"?"))</f>
        <v/>
      </c>
      <c r="O323" s="38" t="str">
        <f aca="false">IF(A323="","",IF(N323=Settings!$B$17,"No","Yes"))</f>
        <v/>
      </c>
      <c r="P323" s="35" t="n">
        <f aca="false">IF(O323="Yes",ROUND(L323*M323,2),0)</f>
        <v>0</v>
      </c>
      <c r="Q323" s="35" t="n">
        <f aca="false">IF(O323="No",ROUND(L323*M323/2,2),0)</f>
        <v>0</v>
      </c>
      <c r="R323" s="35" t="n">
        <f aca="false">Q323</f>
        <v>0</v>
      </c>
      <c r="S323" s="35" t="n">
        <f aca="false">L323+P323+Q323+R323</f>
        <v>0</v>
      </c>
      <c r="T323" s="34" t="str">
        <f aca="false">IF(A323="","",IFERROR(INDEX(Customers!$B$5:$B$204,MATCH(C323,Customers!$A$5:$A$204,0))&amp;"",""))</f>
        <v/>
      </c>
      <c r="U323" s="38" t="str">
        <f aca="false">IF(A323="","",IF(T323&lt;&gt;"","B2B",IF(AND(O323="Yes",SUMIF($A$5:$A$1004,A323,$L$5:$L$1004)+SUMIF($A$5:$A$1004,A323,$P$5:$P$1004)&gt;100000),"B2CL","B2CS")))</f>
        <v/>
      </c>
      <c r="V323" s="17" t="str">
        <f aca="false">IF(A323="","",TEXT(B323,"mmm-yyyy"))</f>
        <v/>
      </c>
    </row>
    <row r="324" customFormat="false" ht="15" hidden="false" customHeight="true" outlineLevel="0" collapsed="false">
      <c r="A324" s="24"/>
      <c r="B324" s="39"/>
      <c r="C324" s="24"/>
      <c r="D324" s="24"/>
      <c r="E324" s="40"/>
      <c r="F324" s="29"/>
      <c r="G324" s="30"/>
      <c r="H324" s="17" t="str">
        <f aca="false">IF(A324="","",A324&amp;"|"&amp;COUNTIF(A$5:A324,A324))</f>
        <v/>
      </c>
      <c r="I324" s="33" t="str">
        <f aca="false">IF(A324="","",IFERROR(INDEX(Items!$B$5:$B$304,MATCH(D324,Items!$A$5:$A$304,0))&amp;"",""))</f>
        <v/>
      </c>
      <c r="J324" s="34" t="str">
        <f aca="false">IF(A324="","",IFERROR(INDEX(Items!$C$5:$C$304,MATCH(D324,Items!$A$5:$A$304,0))&amp;"",""))</f>
        <v/>
      </c>
      <c r="K324" s="35" t="n">
        <f aca="false">IF(A324="",0,IF(ISNUMBER(F324),F324,IFERROR(INDEX(Items!$D$5:$D$304,MATCH(D324,Items!$A$5:$A$304,0)),0)))</f>
        <v>0</v>
      </c>
      <c r="L324" s="35" t="n">
        <f aca="false">ROUND(N(E324)*K324*(1-N(G324)),2)</f>
        <v>0</v>
      </c>
      <c r="M324" s="36" t="n">
        <f aca="false">IF(A324="",0,IFERROR(INDEX(Items!$E$5:$E$304,MATCH(D324,Items!$A$5:$A$304,0)),0))</f>
        <v>0</v>
      </c>
      <c r="N324" s="37" t="str">
        <f aca="false">IF(A324="","",IFERROR(INDEX(Customers!$E$5:$E$204,MATCH(C324,Customers!$A$5:$A$204,0)),"?"))</f>
        <v/>
      </c>
      <c r="O324" s="38" t="str">
        <f aca="false">IF(A324="","",IF(N324=Settings!$B$17,"No","Yes"))</f>
        <v/>
      </c>
      <c r="P324" s="35" t="n">
        <f aca="false">IF(O324="Yes",ROUND(L324*M324,2),0)</f>
        <v>0</v>
      </c>
      <c r="Q324" s="35" t="n">
        <f aca="false">IF(O324="No",ROUND(L324*M324/2,2),0)</f>
        <v>0</v>
      </c>
      <c r="R324" s="35" t="n">
        <f aca="false">Q324</f>
        <v>0</v>
      </c>
      <c r="S324" s="35" t="n">
        <f aca="false">L324+P324+Q324+R324</f>
        <v>0</v>
      </c>
      <c r="T324" s="34" t="str">
        <f aca="false">IF(A324="","",IFERROR(INDEX(Customers!$B$5:$B$204,MATCH(C324,Customers!$A$5:$A$204,0))&amp;"",""))</f>
        <v/>
      </c>
      <c r="U324" s="38" t="str">
        <f aca="false">IF(A324="","",IF(T324&lt;&gt;"","B2B",IF(AND(O324="Yes",SUMIF($A$5:$A$1004,A324,$L$5:$L$1004)+SUMIF($A$5:$A$1004,A324,$P$5:$P$1004)&gt;100000),"B2CL","B2CS")))</f>
        <v/>
      </c>
      <c r="V324" s="17" t="str">
        <f aca="false">IF(A324="","",TEXT(B324,"mmm-yyyy"))</f>
        <v/>
      </c>
    </row>
    <row r="325" customFormat="false" ht="15" hidden="false" customHeight="true" outlineLevel="0" collapsed="false">
      <c r="A325" s="24"/>
      <c r="B325" s="39"/>
      <c r="C325" s="24"/>
      <c r="D325" s="24"/>
      <c r="E325" s="40"/>
      <c r="F325" s="29"/>
      <c r="G325" s="30"/>
      <c r="H325" s="17" t="str">
        <f aca="false">IF(A325="","",A325&amp;"|"&amp;COUNTIF(A$5:A325,A325))</f>
        <v/>
      </c>
      <c r="I325" s="33" t="str">
        <f aca="false">IF(A325="","",IFERROR(INDEX(Items!$B$5:$B$304,MATCH(D325,Items!$A$5:$A$304,0))&amp;"",""))</f>
        <v/>
      </c>
      <c r="J325" s="34" t="str">
        <f aca="false">IF(A325="","",IFERROR(INDEX(Items!$C$5:$C$304,MATCH(D325,Items!$A$5:$A$304,0))&amp;"",""))</f>
        <v/>
      </c>
      <c r="K325" s="35" t="n">
        <f aca="false">IF(A325="",0,IF(ISNUMBER(F325),F325,IFERROR(INDEX(Items!$D$5:$D$304,MATCH(D325,Items!$A$5:$A$304,0)),0)))</f>
        <v>0</v>
      </c>
      <c r="L325" s="35" t="n">
        <f aca="false">ROUND(N(E325)*K325*(1-N(G325)),2)</f>
        <v>0</v>
      </c>
      <c r="M325" s="36" t="n">
        <f aca="false">IF(A325="",0,IFERROR(INDEX(Items!$E$5:$E$304,MATCH(D325,Items!$A$5:$A$304,0)),0))</f>
        <v>0</v>
      </c>
      <c r="N325" s="37" t="str">
        <f aca="false">IF(A325="","",IFERROR(INDEX(Customers!$E$5:$E$204,MATCH(C325,Customers!$A$5:$A$204,0)),"?"))</f>
        <v/>
      </c>
      <c r="O325" s="38" t="str">
        <f aca="false">IF(A325="","",IF(N325=Settings!$B$17,"No","Yes"))</f>
        <v/>
      </c>
      <c r="P325" s="35" t="n">
        <f aca="false">IF(O325="Yes",ROUND(L325*M325,2),0)</f>
        <v>0</v>
      </c>
      <c r="Q325" s="35" t="n">
        <f aca="false">IF(O325="No",ROUND(L325*M325/2,2),0)</f>
        <v>0</v>
      </c>
      <c r="R325" s="35" t="n">
        <f aca="false">Q325</f>
        <v>0</v>
      </c>
      <c r="S325" s="35" t="n">
        <f aca="false">L325+P325+Q325+R325</f>
        <v>0</v>
      </c>
      <c r="T325" s="34" t="str">
        <f aca="false">IF(A325="","",IFERROR(INDEX(Customers!$B$5:$B$204,MATCH(C325,Customers!$A$5:$A$204,0))&amp;"",""))</f>
        <v/>
      </c>
      <c r="U325" s="38" t="str">
        <f aca="false">IF(A325="","",IF(T325&lt;&gt;"","B2B",IF(AND(O325="Yes",SUMIF($A$5:$A$1004,A325,$L$5:$L$1004)+SUMIF($A$5:$A$1004,A325,$P$5:$P$1004)&gt;100000),"B2CL","B2CS")))</f>
        <v/>
      </c>
      <c r="V325" s="17" t="str">
        <f aca="false">IF(A325="","",TEXT(B325,"mmm-yyyy"))</f>
        <v/>
      </c>
    </row>
    <row r="326" customFormat="false" ht="15" hidden="false" customHeight="true" outlineLevel="0" collapsed="false">
      <c r="A326" s="24"/>
      <c r="B326" s="39"/>
      <c r="C326" s="24"/>
      <c r="D326" s="24"/>
      <c r="E326" s="40"/>
      <c r="F326" s="29"/>
      <c r="G326" s="30"/>
      <c r="H326" s="17" t="str">
        <f aca="false">IF(A326="","",A326&amp;"|"&amp;COUNTIF(A$5:A326,A326))</f>
        <v/>
      </c>
      <c r="I326" s="33" t="str">
        <f aca="false">IF(A326="","",IFERROR(INDEX(Items!$B$5:$B$304,MATCH(D326,Items!$A$5:$A$304,0))&amp;"",""))</f>
        <v/>
      </c>
      <c r="J326" s="34" t="str">
        <f aca="false">IF(A326="","",IFERROR(INDEX(Items!$C$5:$C$304,MATCH(D326,Items!$A$5:$A$304,0))&amp;"",""))</f>
        <v/>
      </c>
      <c r="K326" s="35" t="n">
        <f aca="false">IF(A326="",0,IF(ISNUMBER(F326),F326,IFERROR(INDEX(Items!$D$5:$D$304,MATCH(D326,Items!$A$5:$A$304,0)),0)))</f>
        <v>0</v>
      </c>
      <c r="L326" s="35" t="n">
        <f aca="false">ROUND(N(E326)*K326*(1-N(G326)),2)</f>
        <v>0</v>
      </c>
      <c r="M326" s="36" t="n">
        <f aca="false">IF(A326="",0,IFERROR(INDEX(Items!$E$5:$E$304,MATCH(D326,Items!$A$5:$A$304,0)),0))</f>
        <v>0</v>
      </c>
      <c r="N326" s="37" t="str">
        <f aca="false">IF(A326="","",IFERROR(INDEX(Customers!$E$5:$E$204,MATCH(C326,Customers!$A$5:$A$204,0)),"?"))</f>
        <v/>
      </c>
      <c r="O326" s="38" t="str">
        <f aca="false">IF(A326="","",IF(N326=Settings!$B$17,"No","Yes"))</f>
        <v/>
      </c>
      <c r="P326" s="35" t="n">
        <f aca="false">IF(O326="Yes",ROUND(L326*M326,2),0)</f>
        <v>0</v>
      </c>
      <c r="Q326" s="35" t="n">
        <f aca="false">IF(O326="No",ROUND(L326*M326/2,2),0)</f>
        <v>0</v>
      </c>
      <c r="R326" s="35" t="n">
        <f aca="false">Q326</f>
        <v>0</v>
      </c>
      <c r="S326" s="35" t="n">
        <f aca="false">L326+P326+Q326+R326</f>
        <v>0</v>
      </c>
      <c r="T326" s="34" t="str">
        <f aca="false">IF(A326="","",IFERROR(INDEX(Customers!$B$5:$B$204,MATCH(C326,Customers!$A$5:$A$204,0))&amp;"",""))</f>
        <v/>
      </c>
      <c r="U326" s="38" t="str">
        <f aca="false">IF(A326="","",IF(T326&lt;&gt;"","B2B",IF(AND(O326="Yes",SUMIF($A$5:$A$1004,A326,$L$5:$L$1004)+SUMIF($A$5:$A$1004,A326,$P$5:$P$1004)&gt;100000),"B2CL","B2CS")))</f>
        <v/>
      </c>
      <c r="V326" s="17" t="str">
        <f aca="false">IF(A326="","",TEXT(B326,"mmm-yyyy"))</f>
        <v/>
      </c>
    </row>
    <row r="327" customFormat="false" ht="15" hidden="false" customHeight="true" outlineLevel="0" collapsed="false">
      <c r="A327" s="24"/>
      <c r="B327" s="39"/>
      <c r="C327" s="24"/>
      <c r="D327" s="24"/>
      <c r="E327" s="40"/>
      <c r="F327" s="29"/>
      <c r="G327" s="30"/>
      <c r="H327" s="17" t="str">
        <f aca="false">IF(A327="","",A327&amp;"|"&amp;COUNTIF(A$5:A327,A327))</f>
        <v/>
      </c>
      <c r="I327" s="33" t="str">
        <f aca="false">IF(A327="","",IFERROR(INDEX(Items!$B$5:$B$304,MATCH(D327,Items!$A$5:$A$304,0))&amp;"",""))</f>
        <v/>
      </c>
      <c r="J327" s="34" t="str">
        <f aca="false">IF(A327="","",IFERROR(INDEX(Items!$C$5:$C$304,MATCH(D327,Items!$A$5:$A$304,0))&amp;"",""))</f>
        <v/>
      </c>
      <c r="K327" s="35" t="n">
        <f aca="false">IF(A327="",0,IF(ISNUMBER(F327),F327,IFERROR(INDEX(Items!$D$5:$D$304,MATCH(D327,Items!$A$5:$A$304,0)),0)))</f>
        <v>0</v>
      </c>
      <c r="L327" s="35" t="n">
        <f aca="false">ROUND(N(E327)*K327*(1-N(G327)),2)</f>
        <v>0</v>
      </c>
      <c r="M327" s="36" t="n">
        <f aca="false">IF(A327="",0,IFERROR(INDEX(Items!$E$5:$E$304,MATCH(D327,Items!$A$5:$A$304,0)),0))</f>
        <v>0</v>
      </c>
      <c r="N327" s="37" t="str">
        <f aca="false">IF(A327="","",IFERROR(INDEX(Customers!$E$5:$E$204,MATCH(C327,Customers!$A$5:$A$204,0)),"?"))</f>
        <v/>
      </c>
      <c r="O327" s="38" t="str">
        <f aca="false">IF(A327="","",IF(N327=Settings!$B$17,"No","Yes"))</f>
        <v/>
      </c>
      <c r="P327" s="35" t="n">
        <f aca="false">IF(O327="Yes",ROUND(L327*M327,2),0)</f>
        <v>0</v>
      </c>
      <c r="Q327" s="35" t="n">
        <f aca="false">IF(O327="No",ROUND(L327*M327/2,2),0)</f>
        <v>0</v>
      </c>
      <c r="R327" s="35" t="n">
        <f aca="false">Q327</f>
        <v>0</v>
      </c>
      <c r="S327" s="35" t="n">
        <f aca="false">L327+P327+Q327+R327</f>
        <v>0</v>
      </c>
      <c r="T327" s="34" t="str">
        <f aca="false">IF(A327="","",IFERROR(INDEX(Customers!$B$5:$B$204,MATCH(C327,Customers!$A$5:$A$204,0))&amp;"",""))</f>
        <v/>
      </c>
      <c r="U327" s="38" t="str">
        <f aca="false">IF(A327="","",IF(T327&lt;&gt;"","B2B",IF(AND(O327="Yes",SUMIF($A$5:$A$1004,A327,$L$5:$L$1004)+SUMIF($A$5:$A$1004,A327,$P$5:$P$1004)&gt;100000),"B2CL","B2CS")))</f>
        <v/>
      </c>
      <c r="V327" s="17" t="str">
        <f aca="false">IF(A327="","",TEXT(B327,"mmm-yyyy"))</f>
        <v/>
      </c>
    </row>
    <row r="328" customFormat="false" ht="15" hidden="false" customHeight="true" outlineLevel="0" collapsed="false">
      <c r="A328" s="24"/>
      <c r="B328" s="39"/>
      <c r="C328" s="24"/>
      <c r="D328" s="24"/>
      <c r="E328" s="40"/>
      <c r="F328" s="29"/>
      <c r="G328" s="30"/>
      <c r="H328" s="17" t="str">
        <f aca="false">IF(A328="","",A328&amp;"|"&amp;COUNTIF(A$5:A328,A328))</f>
        <v/>
      </c>
      <c r="I328" s="33" t="str">
        <f aca="false">IF(A328="","",IFERROR(INDEX(Items!$B$5:$B$304,MATCH(D328,Items!$A$5:$A$304,0))&amp;"",""))</f>
        <v/>
      </c>
      <c r="J328" s="34" t="str">
        <f aca="false">IF(A328="","",IFERROR(INDEX(Items!$C$5:$C$304,MATCH(D328,Items!$A$5:$A$304,0))&amp;"",""))</f>
        <v/>
      </c>
      <c r="K328" s="35" t="n">
        <f aca="false">IF(A328="",0,IF(ISNUMBER(F328),F328,IFERROR(INDEX(Items!$D$5:$D$304,MATCH(D328,Items!$A$5:$A$304,0)),0)))</f>
        <v>0</v>
      </c>
      <c r="L328" s="35" t="n">
        <f aca="false">ROUND(N(E328)*K328*(1-N(G328)),2)</f>
        <v>0</v>
      </c>
      <c r="M328" s="36" t="n">
        <f aca="false">IF(A328="",0,IFERROR(INDEX(Items!$E$5:$E$304,MATCH(D328,Items!$A$5:$A$304,0)),0))</f>
        <v>0</v>
      </c>
      <c r="N328" s="37" t="str">
        <f aca="false">IF(A328="","",IFERROR(INDEX(Customers!$E$5:$E$204,MATCH(C328,Customers!$A$5:$A$204,0)),"?"))</f>
        <v/>
      </c>
      <c r="O328" s="38" t="str">
        <f aca="false">IF(A328="","",IF(N328=Settings!$B$17,"No","Yes"))</f>
        <v/>
      </c>
      <c r="P328" s="35" t="n">
        <f aca="false">IF(O328="Yes",ROUND(L328*M328,2),0)</f>
        <v>0</v>
      </c>
      <c r="Q328" s="35" t="n">
        <f aca="false">IF(O328="No",ROUND(L328*M328/2,2),0)</f>
        <v>0</v>
      </c>
      <c r="R328" s="35" t="n">
        <f aca="false">Q328</f>
        <v>0</v>
      </c>
      <c r="S328" s="35" t="n">
        <f aca="false">L328+P328+Q328+R328</f>
        <v>0</v>
      </c>
      <c r="T328" s="34" t="str">
        <f aca="false">IF(A328="","",IFERROR(INDEX(Customers!$B$5:$B$204,MATCH(C328,Customers!$A$5:$A$204,0))&amp;"",""))</f>
        <v/>
      </c>
      <c r="U328" s="38" t="str">
        <f aca="false">IF(A328="","",IF(T328&lt;&gt;"","B2B",IF(AND(O328="Yes",SUMIF($A$5:$A$1004,A328,$L$5:$L$1004)+SUMIF($A$5:$A$1004,A328,$P$5:$P$1004)&gt;100000),"B2CL","B2CS")))</f>
        <v/>
      </c>
      <c r="V328" s="17" t="str">
        <f aca="false">IF(A328="","",TEXT(B328,"mmm-yyyy"))</f>
        <v/>
      </c>
    </row>
    <row r="329" customFormat="false" ht="15" hidden="false" customHeight="true" outlineLevel="0" collapsed="false">
      <c r="A329" s="24"/>
      <c r="B329" s="39"/>
      <c r="C329" s="24"/>
      <c r="D329" s="24"/>
      <c r="E329" s="40"/>
      <c r="F329" s="29"/>
      <c r="G329" s="30"/>
      <c r="H329" s="17" t="str">
        <f aca="false">IF(A329="","",A329&amp;"|"&amp;COUNTIF(A$5:A329,A329))</f>
        <v/>
      </c>
      <c r="I329" s="33" t="str">
        <f aca="false">IF(A329="","",IFERROR(INDEX(Items!$B$5:$B$304,MATCH(D329,Items!$A$5:$A$304,0))&amp;"",""))</f>
        <v/>
      </c>
      <c r="J329" s="34" t="str">
        <f aca="false">IF(A329="","",IFERROR(INDEX(Items!$C$5:$C$304,MATCH(D329,Items!$A$5:$A$304,0))&amp;"",""))</f>
        <v/>
      </c>
      <c r="K329" s="35" t="n">
        <f aca="false">IF(A329="",0,IF(ISNUMBER(F329),F329,IFERROR(INDEX(Items!$D$5:$D$304,MATCH(D329,Items!$A$5:$A$304,0)),0)))</f>
        <v>0</v>
      </c>
      <c r="L329" s="35" t="n">
        <f aca="false">ROUND(N(E329)*K329*(1-N(G329)),2)</f>
        <v>0</v>
      </c>
      <c r="M329" s="36" t="n">
        <f aca="false">IF(A329="",0,IFERROR(INDEX(Items!$E$5:$E$304,MATCH(D329,Items!$A$5:$A$304,0)),0))</f>
        <v>0</v>
      </c>
      <c r="N329" s="37" t="str">
        <f aca="false">IF(A329="","",IFERROR(INDEX(Customers!$E$5:$E$204,MATCH(C329,Customers!$A$5:$A$204,0)),"?"))</f>
        <v/>
      </c>
      <c r="O329" s="38" t="str">
        <f aca="false">IF(A329="","",IF(N329=Settings!$B$17,"No","Yes"))</f>
        <v/>
      </c>
      <c r="P329" s="35" t="n">
        <f aca="false">IF(O329="Yes",ROUND(L329*M329,2),0)</f>
        <v>0</v>
      </c>
      <c r="Q329" s="35" t="n">
        <f aca="false">IF(O329="No",ROUND(L329*M329/2,2),0)</f>
        <v>0</v>
      </c>
      <c r="R329" s="35" t="n">
        <f aca="false">Q329</f>
        <v>0</v>
      </c>
      <c r="S329" s="35" t="n">
        <f aca="false">L329+P329+Q329+R329</f>
        <v>0</v>
      </c>
      <c r="T329" s="34" t="str">
        <f aca="false">IF(A329="","",IFERROR(INDEX(Customers!$B$5:$B$204,MATCH(C329,Customers!$A$5:$A$204,0))&amp;"",""))</f>
        <v/>
      </c>
      <c r="U329" s="38" t="str">
        <f aca="false">IF(A329="","",IF(T329&lt;&gt;"","B2B",IF(AND(O329="Yes",SUMIF($A$5:$A$1004,A329,$L$5:$L$1004)+SUMIF($A$5:$A$1004,A329,$P$5:$P$1004)&gt;100000),"B2CL","B2CS")))</f>
        <v/>
      </c>
      <c r="V329" s="17" t="str">
        <f aca="false">IF(A329="","",TEXT(B329,"mmm-yyyy"))</f>
        <v/>
      </c>
    </row>
    <row r="330" customFormat="false" ht="15" hidden="false" customHeight="true" outlineLevel="0" collapsed="false">
      <c r="A330" s="24"/>
      <c r="B330" s="39"/>
      <c r="C330" s="24"/>
      <c r="D330" s="24"/>
      <c r="E330" s="40"/>
      <c r="F330" s="29"/>
      <c r="G330" s="30"/>
      <c r="H330" s="17" t="str">
        <f aca="false">IF(A330="","",A330&amp;"|"&amp;COUNTIF(A$5:A330,A330))</f>
        <v/>
      </c>
      <c r="I330" s="33" t="str">
        <f aca="false">IF(A330="","",IFERROR(INDEX(Items!$B$5:$B$304,MATCH(D330,Items!$A$5:$A$304,0))&amp;"",""))</f>
        <v/>
      </c>
      <c r="J330" s="34" t="str">
        <f aca="false">IF(A330="","",IFERROR(INDEX(Items!$C$5:$C$304,MATCH(D330,Items!$A$5:$A$304,0))&amp;"",""))</f>
        <v/>
      </c>
      <c r="K330" s="35" t="n">
        <f aca="false">IF(A330="",0,IF(ISNUMBER(F330),F330,IFERROR(INDEX(Items!$D$5:$D$304,MATCH(D330,Items!$A$5:$A$304,0)),0)))</f>
        <v>0</v>
      </c>
      <c r="L330" s="35" t="n">
        <f aca="false">ROUND(N(E330)*K330*(1-N(G330)),2)</f>
        <v>0</v>
      </c>
      <c r="M330" s="36" t="n">
        <f aca="false">IF(A330="",0,IFERROR(INDEX(Items!$E$5:$E$304,MATCH(D330,Items!$A$5:$A$304,0)),0))</f>
        <v>0</v>
      </c>
      <c r="N330" s="37" t="str">
        <f aca="false">IF(A330="","",IFERROR(INDEX(Customers!$E$5:$E$204,MATCH(C330,Customers!$A$5:$A$204,0)),"?"))</f>
        <v/>
      </c>
      <c r="O330" s="38" t="str">
        <f aca="false">IF(A330="","",IF(N330=Settings!$B$17,"No","Yes"))</f>
        <v/>
      </c>
      <c r="P330" s="35" t="n">
        <f aca="false">IF(O330="Yes",ROUND(L330*M330,2),0)</f>
        <v>0</v>
      </c>
      <c r="Q330" s="35" t="n">
        <f aca="false">IF(O330="No",ROUND(L330*M330/2,2),0)</f>
        <v>0</v>
      </c>
      <c r="R330" s="35" t="n">
        <f aca="false">Q330</f>
        <v>0</v>
      </c>
      <c r="S330" s="35" t="n">
        <f aca="false">L330+P330+Q330+R330</f>
        <v>0</v>
      </c>
      <c r="T330" s="34" t="str">
        <f aca="false">IF(A330="","",IFERROR(INDEX(Customers!$B$5:$B$204,MATCH(C330,Customers!$A$5:$A$204,0))&amp;"",""))</f>
        <v/>
      </c>
      <c r="U330" s="38" t="str">
        <f aca="false">IF(A330="","",IF(T330&lt;&gt;"","B2B",IF(AND(O330="Yes",SUMIF($A$5:$A$1004,A330,$L$5:$L$1004)+SUMIF($A$5:$A$1004,A330,$P$5:$P$1004)&gt;100000),"B2CL","B2CS")))</f>
        <v/>
      </c>
      <c r="V330" s="17" t="str">
        <f aca="false">IF(A330="","",TEXT(B330,"mmm-yyyy"))</f>
        <v/>
      </c>
    </row>
    <row r="331" customFormat="false" ht="15" hidden="false" customHeight="true" outlineLevel="0" collapsed="false">
      <c r="A331" s="24"/>
      <c r="B331" s="39"/>
      <c r="C331" s="24"/>
      <c r="D331" s="24"/>
      <c r="E331" s="40"/>
      <c r="F331" s="29"/>
      <c r="G331" s="30"/>
      <c r="H331" s="17" t="str">
        <f aca="false">IF(A331="","",A331&amp;"|"&amp;COUNTIF(A$5:A331,A331))</f>
        <v/>
      </c>
      <c r="I331" s="33" t="str">
        <f aca="false">IF(A331="","",IFERROR(INDEX(Items!$B$5:$B$304,MATCH(D331,Items!$A$5:$A$304,0))&amp;"",""))</f>
        <v/>
      </c>
      <c r="J331" s="34" t="str">
        <f aca="false">IF(A331="","",IFERROR(INDEX(Items!$C$5:$C$304,MATCH(D331,Items!$A$5:$A$304,0))&amp;"",""))</f>
        <v/>
      </c>
      <c r="K331" s="35" t="n">
        <f aca="false">IF(A331="",0,IF(ISNUMBER(F331),F331,IFERROR(INDEX(Items!$D$5:$D$304,MATCH(D331,Items!$A$5:$A$304,0)),0)))</f>
        <v>0</v>
      </c>
      <c r="L331" s="35" t="n">
        <f aca="false">ROUND(N(E331)*K331*(1-N(G331)),2)</f>
        <v>0</v>
      </c>
      <c r="M331" s="36" t="n">
        <f aca="false">IF(A331="",0,IFERROR(INDEX(Items!$E$5:$E$304,MATCH(D331,Items!$A$5:$A$304,0)),0))</f>
        <v>0</v>
      </c>
      <c r="N331" s="37" t="str">
        <f aca="false">IF(A331="","",IFERROR(INDEX(Customers!$E$5:$E$204,MATCH(C331,Customers!$A$5:$A$204,0)),"?"))</f>
        <v/>
      </c>
      <c r="O331" s="38" t="str">
        <f aca="false">IF(A331="","",IF(N331=Settings!$B$17,"No","Yes"))</f>
        <v/>
      </c>
      <c r="P331" s="35" t="n">
        <f aca="false">IF(O331="Yes",ROUND(L331*M331,2),0)</f>
        <v>0</v>
      </c>
      <c r="Q331" s="35" t="n">
        <f aca="false">IF(O331="No",ROUND(L331*M331/2,2),0)</f>
        <v>0</v>
      </c>
      <c r="R331" s="35" t="n">
        <f aca="false">Q331</f>
        <v>0</v>
      </c>
      <c r="S331" s="35" t="n">
        <f aca="false">L331+P331+Q331+R331</f>
        <v>0</v>
      </c>
      <c r="T331" s="34" t="str">
        <f aca="false">IF(A331="","",IFERROR(INDEX(Customers!$B$5:$B$204,MATCH(C331,Customers!$A$5:$A$204,0))&amp;"",""))</f>
        <v/>
      </c>
      <c r="U331" s="38" t="str">
        <f aca="false">IF(A331="","",IF(T331&lt;&gt;"","B2B",IF(AND(O331="Yes",SUMIF($A$5:$A$1004,A331,$L$5:$L$1004)+SUMIF($A$5:$A$1004,A331,$P$5:$P$1004)&gt;100000),"B2CL","B2CS")))</f>
        <v/>
      </c>
      <c r="V331" s="17" t="str">
        <f aca="false">IF(A331="","",TEXT(B331,"mmm-yyyy"))</f>
        <v/>
      </c>
    </row>
    <row r="332" customFormat="false" ht="15" hidden="false" customHeight="true" outlineLevel="0" collapsed="false">
      <c r="A332" s="24"/>
      <c r="B332" s="39"/>
      <c r="C332" s="24"/>
      <c r="D332" s="24"/>
      <c r="E332" s="40"/>
      <c r="F332" s="29"/>
      <c r="G332" s="30"/>
      <c r="H332" s="17" t="str">
        <f aca="false">IF(A332="","",A332&amp;"|"&amp;COUNTIF(A$5:A332,A332))</f>
        <v/>
      </c>
      <c r="I332" s="33" t="str">
        <f aca="false">IF(A332="","",IFERROR(INDEX(Items!$B$5:$B$304,MATCH(D332,Items!$A$5:$A$304,0))&amp;"",""))</f>
        <v/>
      </c>
      <c r="J332" s="34" t="str">
        <f aca="false">IF(A332="","",IFERROR(INDEX(Items!$C$5:$C$304,MATCH(D332,Items!$A$5:$A$304,0))&amp;"",""))</f>
        <v/>
      </c>
      <c r="K332" s="35" t="n">
        <f aca="false">IF(A332="",0,IF(ISNUMBER(F332),F332,IFERROR(INDEX(Items!$D$5:$D$304,MATCH(D332,Items!$A$5:$A$304,0)),0)))</f>
        <v>0</v>
      </c>
      <c r="L332" s="35" t="n">
        <f aca="false">ROUND(N(E332)*K332*(1-N(G332)),2)</f>
        <v>0</v>
      </c>
      <c r="M332" s="36" t="n">
        <f aca="false">IF(A332="",0,IFERROR(INDEX(Items!$E$5:$E$304,MATCH(D332,Items!$A$5:$A$304,0)),0))</f>
        <v>0</v>
      </c>
      <c r="N332" s="37" t="str">
        <f aca="false">IF(A332="","",IFERROR(INDEX(Customers!$E$5:$E$204,MATCH(C332,Customers!$A$5:$A$204,0)),"?"))</f>
        <v/>
      </c>
      <c r="O332" s="38" t="str">
        <f aca="false">IF(A332="","",IF(N332=Settings!$B$17,"No","Yes"))</f>
        <v/>
      </c>
      <c r="P332" s="35" t="n">
        <f aca="false">IF(O332="Yes",ROUND(L332*M332,2),0)</f>
        <v>0</v>
      </c>
      <c r="Q332" s="35" t="n">
        <f aca="false">IF(O332="No",ROUND(L332*M332/2,2),0)</f>
        <v>0</v>
      </c>
      <c r="R332" s="35" t="n">
        <f aca="false">Q332</f>
        <v>0</v>
      </c>
      <c r="S332" s="35" t="n">
        <f aca="false">L332+P332+Q332+R332</f>
        <v>0</v>
      </c>
      <c r="T332" s="34" t="str">
        <f aca="false">IF(A332="","",IFERROR(INDEX(Customers!$B$5:$B$204,MATCH(C332,Customers!$A$5:$A$204,0))&amp;"",""))</f>
        <v/>
      </c>
      <c r="U332" s="38" t="str">
        <f aca="false">IF(A332="","",IF(T332&lt;&gt;"","B2B",IF(AND(O332="Yes",SUMIF($A$5:$A$1004,A332,$L$5:$L$1004)+SUMIF($A$5:$A$1004,A332,$P$5:$P$1004)&gt;100000),"B2CL","B2CS")))</f>
        <v/>
      </c>
      <c r="V332" s="17" t="str">
        <f aca="false">IF(A332="","",TEXT(B332,"mmm-yyyy"))</f>
        <v/>
      </c>
    </row>
    <row r="333" customFormat="false" ht="15" hidden="false" customHeight="true" outlineLevel="0" collapsed="false">
      <c r="A333" s="24"/>
      <c r="B333" s="39"/>
      <c r="C333" s="24"/>
      <c r="D333" s="24"/>
      <c r="E333" s="40"/>
      <c r="F333" s="29"/>
      <c r="G333" s="30"/>
      <c r="H333" s="17" t="str">
        <f aca="false">IF(A333="","",A333&amp;"|"&amp;COUNTIF(A$5:A333,A333))</f>
        <v/>
      </c>
      <c r="I333" s="33" t="str">
        <f aca="false">IF(A333="","",IFERROR(INDEX(Items!$B$5:$B$304,MATCH(D333,Items!$A$5:$A$304,0))&amp;"",""))</f>
        <v/>
      </c>
      <c r="J333" s="34" t="str">
        <f aca="false">IF(A333="","",IFERROR(INDEX(Items!$C$5:$C$304,MATCH(D333,Items!$A$5:$A$304,0))&amp;"",""))</f>
        <v/>
      </c>
      <c r="K333" s="35" t="n">
        <f aca="false">IF(A333="",0,IF(ISNUMBER(F333),F333,IFERROR(INDEX(Items!$D$5:$D$304,MATCH(D333,Items!$A$5:$A$304,0)),0)))</f>
        <v>0</v>
      </c>
      <c r="L333" s="35" t="n">
        <f aca="false">ROUND(N(E333)*K333*(1-N(G333)),2)</f>
        <v>0</v>
      </c>
      <c r="M333" s="36" t="n">
        <f aca="false">IF(A333="",0,IFERROR(INDEX(Items!$E$5:$E$304,MATCH(D333,Items!$A$5:$A$304,0)),0))</f>
        <v>0</v>
      </c>
      <c r="N333" s="37" t="str">
        <f aca="false">IF(A333="","",IFERROR(INDEX(Customers!$E$5:$E$204,MATCH(C333,Customers!$A$5:$A$204,0)),"?"))</f>
        <v/>
      </c>
      <c r="O333" s="38" t="str">
        <f aca="false">IF(A333="","",IF(N333=Settings!$B$17,"No","Yes"))</f>
        <v/>
      </c>
      <c r="P333" s="35" t="n">
        <f aca="false">IF(O333="Yes",ROUND(L333*M333,2),0)</f>
        <v>0</v>
      </c>
      <c r="Q333" s="35" t="n">
        <f aca="false">IF(O333="No",ROUND(L333*M333/2,2),0)</f>
        <v>0</v>
      </c>
      <c r="R333" s="35" t="n">
        <f aca="false">Q333</f>
        <v>0</v>
      </c>
      <c r="S333" s="35" t="n">
        <f aca="false">L333+P333+Q333+R333</f>
        <v>0</v>
      </c>
      <c r="T333" s="34" t="str">
        <f aca="false">IF(A333="","",IFERROR(INDEX(Customers!$B$5:$B$204,MATCH(C333,Customers!$A$5:$A$204,0))&amp;"",""))</f>
        <v/>
      </c>
      <c r="U333" s="38" t="str">
        <f aca="false">IF(A333="","",IF(T333&lt;&gt;"","B2B",IF(AND(O333="Yes",SUMIF($A$5:$A$1004,A333,$L$5:$L$1004)+SUMIF($A$5:$A$1004,A333,$P$5:$P$1004)&gt;100000),"B2CL","B2CS")))</f>
        <v/>
      </c>
      <c r="V333" s="17" t="str">
        <f aca="false">IF(A333="","",TEXT(B333,"mmm-yyyy"))</f>
        <v/>
      </c>
    </row>
    <row r="334" customFormat="false" ht="15" hidden="false" customHeight="true" outlineLevel="0" collapsed="false">
      <c r="A334" s="24"/>
      <c r="B334" s="39"/>
      <c r="C334" s="24"/>
      <c r="D334" s="24"/>
      <c r="E334" s="40"/>
      <c r="F334" s="29"/>
      <c r="G334" s="30"/>
      <c r="H334" s="17" t="str">
        <f aca="false">IF(A334="","",A334&amp;"|"&amp;COUNTIF(A$5:A334,A334))</f>
        <v/>
      </c>
      <c r="I334" s="33" t="str">
        <f aca="false">IF(A334="","",IFERROR(INDEX(Items!$B$5:$B$304,MATCH(D334,Items!$A$5:$A$304,0))&amp;"",""))</f>
        <v/>
      </c>
      <c r="J334" s="34" t="str">
        <f aca="false">IF(A334="","",IFERROR(INDEX(Items!$C$5:$C$304,MATCH(D334,Items!$A$5:$A$304,0))&amp;"",""))</f>
        <v/>
      </c>
      <c r="K334" s="35" t="n">
        <f aca="false">IF(A334="",0,IF(ISNUMBER(F334),F334,IFERROR(INDEX(Items!$D$5:$D$304,MATCH(D334,Items!$A$5:$A$304,0)),0)))</f>
        <v>0</v>
      </c>
      <c r="L334" s="35" t="n">
        <f aca="false">ROUND(N(E334)*K334*(1-N(G334)),2)</f>
        <v>0</v>
      </c>
      <c r="M334" s="36" t="n">
        <f aca="false">IF(A334="",0,IFERROR(INDEX(Items!$E$5:$E$304,MATCH(D334,Items!$A$5:$A$304,0)),0))</f>
        <v>0</v>
      </c>
      <c r="N334" s="37" t="str">
        <f aca="false">IF(A334="","",IFERROR(INDEX(Customers!$E$5:$E$204,MATCH(C334,Customers!$A$5:$A$204,0)),"?"))</f>
        <v/>
      </c>
      <c r="O334" s="38" t="str">
        <f aca="false">IF(A334="","",IF(N334=Settings!$B$17,"No","Yes"))</f>
        <v/>
      </c>
      <c r="P334" s="35" t="n">
        <f aca="false">IF(O334="Yes",ROUND(L334*M334,2),0)</f>
        <v>0</v>
      </c>
      <c r="Q334" s="35" t="n">
        <f aca="false">IF(O334="No",ROUND(L334*M334/2,2),0)</f>
        <v>0</v>
      </c>
      <c r="R334" s="35" t="n">
        <f aca="false">Q334</f>
        <v>0</v>
      </c>
      <c r="S334" s="35" t="n">
        <f aca="false">L334+P334+Q334+R334</f>
        <v>0</v>
      </c>
      <c r="T334" s="34" t="str">
        <f aca="false">IF(A334="","",IFERROR(INDEX(Customers!$B$5:$B$204,MATCH(C334,Customers!$A$5:$A$204,0))&amp;"",""))</f>
        <v/>
      </c>
      <c r="U334" s="38" t="str">
        <f aca="false">IF(A334="","",IF(T334&lt;&gt;"","B2B",IF(AND(O334="Yes",SUMIF($A$5:$A$1004,A334,$L$5:$L$1004)+SUMIF($A$5:$A$1004,A334,$P$5:$P$1004)&gt;100000),"B2CL","B2CS")))</f>
        <v/>
      </c>
      <c r="V334" s="17" t="str">
        <f aca="false">IF(A334="","",TEXT(B334,"mmm-yyyy"))</f>
        <v/>
      </c>
    </row>
    <row r="335" customFormat="false" ht="15" hidden="false" customHeight="true" outlineLevel="0" collapsed="false">
      <c r="A335" s="24"/>
      <c r="B335" s="39"/>
      <c r="C335" s="24"/>
      <c r="D335" s="24"/>
      <c r="E335" s="40"/>
      <c r="F335" s="29"/>
      <c r="G335" s="30"/>
      <c r="H335" s="17" t="str">
        <f aca="false">IF(A335="","",A335&amp;"|"&amp;COUNTIF(A$5:A335,A335))</f>
        <v/>
      </c>
      <c r="I335" s="33" t="str">
        <f aca="false">IF(A335="","",IFERROR(INDEX(Items!$B$5:$B$304,MATCH(D335,Items!$A$5:$A$304,0))&amp;"",""))</f>
        <v/>
      </c>
      <c r="J335" s="34" t="str">
        <f aca="false">IF(A335="","",IFERROR(INDEX(Items!$C$5:$C$304,MATCH(D335,Items!$A$5:$A$304,0))&amp;"",""))</f>
        <v/>
      </c>
      <c r="K335" s="35" t="n">
        <f aca="false">IF(A335="",0,IF(ISNUMBER(F335),F335,IFERROR(INDEX(Items!$D$5:$D$304,MATCH(D335,Items!$A$5:$A$304,0)),0)))</f>
        <v>0</v>
      </c>
      <c r="L335" s="35" t="n">
        <f aca="false">ROUND(N(E335)*K335*(1-N(G335)),2)</f>
        <v>0</v>
      </c>
      <c r="M335" s="36" t="n">
        <f aca="false">IF(A335="",0,IFERROR(INDEX(Items!$E$5:$E$304,MATCH(D335,Items!$A$5:$A$304,0)),0))</f>
        <v>0</v>
      </c>
      <c r="N335" s="37" t="str">
        <f aca="false">IF(A335="","",IFERROR(INDEX(Customers!$E$5:$E$204,MATCH(C335,Customers!$A$5:$A$204,0)),"?"))</f>
        <v/>
      </c>
      <c r="O335" s="38" t="str">
        <f aca="false">IF(A335="","",IF(N335=Settings!$B$17,"No","Yes"))</f>
        <v/>
      </c>
      <c r="P335" s="35" t="n">
        <f aca="false">IF(O335="Yes",ROUND(L335*M335,2),0)</f>
        <v>0</v>
      </c>
      <c r="Q335" s="35" t="n">
        <f aca="false">IF(O335="No",ROUND(L335*M335/2,2),0)</f>
        <v>0</v>
      </c>
      <c r="R335" s="35" t="n">
        <f aca="false">Q335</f>
        <v>0</v>
      </c>
      <c r="S335" s="35" t="n">
        <f aca="false">L335+P335+Q335+R335</f>
        <v>0</v>
      </c>
      <c r="T335" s="34" t="str">
        <f aca="false">IF(A335="","",IFERROR(INDEX(Customers!$B$5:$B$204,MATCH(C335,Customers!$A$5:$A$204,0))&amp;"",""))</f>
        <v/>
      </c>
      <c r="U335" s="38" t="str">
        <f aca="false">IF(A335="","",IF(T335&lt;&gt;"","B2B",IF(AND(O335="Yes",SUMIF($A$5:$A$1004,A335,$L$5:$L$1004)+SUMIF($A$5:$A$1004,A335,$P$5:$P$1004)&gt;100000),"B2CL","B2CS")))</f>
        <v/>
      </c>
      <c r="V335" s="17" t="str">
        <f aca="false">IF(A335="","",TEXT(B335,"mmm-yyyy"))</f>
        <v/>
      </c>
    </row>
    <row r="336" customFormat="false" ht="15" hidden="false" customHeight="true" outlineLevel="0" collapsed="false">
      <c r="A336" s="24"/>
      <c r="B336" s="39"/>
      <c r="C336" s="24"/>
      <c r="D336" s="24"/>
      <c r="E336" s="40"/>
      <c r="F336" s="29"/>
      <c r="G336" s="30"/>
      <c r="H336" s="17" t="str">
        <f aca="false">IF(A336="","",A336&amp;"|"&amp;COUNTIF(A$5:A336,A336))</f>
        <v/>
      </c>
      <c r="I336" s="33" t="str">
        <f aca="false">IF(A336="","",IFERROR(INDEX(Items!$B$5:$B$304,MATCH(D336,Items!$A$5:$A$304,0))&amp;"",""))</f>
        <v/>
      </c>
      <c r="J336" s="34" t="str">
        <f aca="false">IF(A336="","",IFERROR(INDEX(Items!$C$5:$C$304,MATCH(D336,Items!$A$5:$A$304,0))&amp;"",""))</f>
        <v/>
      </c>
      <c r="K336" s="35" t="n">
        <f aca="false">IF(A336="",0,IF(ISNUMBER(F336),F336,IFERROR(INDEX(Items!$D$5:$D$304,MATCH(D336,Items!$A$5:$A$304,0)),0)))</f>
        <v>0</v>
      </c>
      <c r="L336" s="35" t="n">
        <f aca="false">ROUND(N(E336)*K336*(1-N(G336)),2)</f>
        <v>0</v>
      </c>
      <c r="M336" s="36" t="n">
        <f aca="false">IF(A336="",0,IFERROR(INDEX(Items!$E$5:$E$304,MATCH(D336,Items!$A$5:$A$304,0)),0))</f>
        <v>0</v>
      </c>
      <c r="N336" s="37" t="str">
        <f aca="false">IF(A336="","",IFERROR(INDEX(Customers!$E$5:$E$204,MATCH(C336,Customers!$A$5:$A$204,0)),"?"))</f>
        <v/>
      </c>
      <c r="O336" s="38" t="str">
        <f aca="false">IF(A336="","",IF(N336=Settings!$B$17,"No","Yes"))</f>
        <v/>
      </c>
      <c r="P336" s="35" t="n">
        <f aca="false">IF(O336="Yes",ROUND(L336*M336,2),0)</f>
        <v>0</v>
      </c>
      <c r="Q336" s="35" t="n">
        <f aca="false">IF(O336="No",ROUND(L336*M336/2,2),0)</f>
        <v>0</v>
      </c>
      <c r="R336" s="35" t="n">
        <f aca="false">Q336</f>
        <v>0</v>
      </c>
      <c r="S336" s="35" t="n">
        <f aca="false">L336+P336+Q336+R336</f>
        <v>0</v>
      </c>
      <c r="T336" s="34" t="str">
        <f aca="false">IF(A336="","",IFERROR(INDEX(Customers!$B$5:$B$204,MATCH(C336,Customers!$A$5:$A$204,0))&amp;"",""))</f>
        <v/>
      </c>
      <c r="U336" s="38" t="str">
        <f aca="false">IF(A336="","",IF(T336&lt;&gt;"","B2B",IF(AND(O336="Yes",SUMIF($A$5:$A$1004,A336,$L$5:$L$1004)+SUMIF($A$5:$A$1004,A336,$P$5:$P$1004)&gt;100000),"B2CL","B2CS")))</f>
        <v/>
      </c>
      <c r="V336" s="17" t="str">
        <f aca="false">IF(A336="","",TEXT(B336,"mmm-yyyy"))</f>
        <v/>
      </c>
    </row>
    <row r="337" customFormat="false" ht="15" hidden="false" customHeight="true" outlineLevel="0" collapsed="false">
      <c r="A337" s="24"/>
      <c r="B337" s="39"/>
      <c r="C337" s="24"/>
      <c r="D337" s="24"/>
      <c r="E337" s="40"/>
      <c r="F337" s="29"/>
      <c r="G337" s="30"/>
      <c r="H337" s="17" t="str">
        <f aca="false">IF(A337="","",A337&amp;"|"&amp;COUNTIF(A$5:A337,A337))</f>
        <v/>
      </c>
      <c r="I337" s="33" t="str">
        <f aca="false">IF(A337="","",IFERROR(INDEX(Items!$B$5:$B$304,MATCH(D337,Items!$A$5:$A$304,0))&amp;"",""))</f>
        <v/>
      </c>
      <c r="J337" s="34" t="str">
        <f aca="false">IF(A337="","",IFERROR(INDEX(Items!$C$5:$C$304,MATCH(D337,Items!$A$5:$A$304,0))&amp;"",""))</f>
        <v/>
      </c>
      <c r="K337" s="35" t="n">
        <f aca="false">IF(A337="",0,IF(ISNUMBER(F337),F337,IFERROR(INDEX(Items!$D$5:$D$304,MATCH(D337,Items!$A$5:$A$304,0)),0)))</f>
        <v>0</v>
      </c>
      <c r="L337" s="35" t="n">
        <f aca="false">ROUND(N(E337)*K337*(1-N(G337)),2)</f>
        <v>0</v>
      </c>
      <c r="M337" s="36" t="n">
        <f aca="false">IF(A337="",0,IFERROR(INDEX(Items!$E$5:$E$304,MATCH(D337,Items!$A$5:$A$304,0)),0))</f>
        <v>0</v>
      </c>
      <c r="N337" s="37" t="str">
        <f aca="false">IF(A337="","",IFERROR(INDEX(Customers!$E$5:$E$204,MATCH(C337,Customers!$A$5:$A$204,0)),"?"))</f>
        <v/>
      </c>
      <c r="O337" s="38" t="str">
        <f aca="false">IF(A337="","",IF(N337=Settings!$B$17,"No","Yes"))</f>
        <v/>
      </c>
      <c r="P337" s="35" t="n">
        <f aca="false">IF(O337="Yes",ROUND(L337*M337,2),0)</f>
        <v>0</v>
      </c>
      <c r="Q337" s="35" t="n">
        <f aca="false">IF(O337="No",ROUND(L337*M337/2,2),0)</f>
        <v>0</v>
      </c>
      <c r="R337" s="35" t="n">
        <f aca="false">Q337</f>
        <v>0</v>
      </c>
      <c r="S337" s="35" t="n">
        <f aca="false">L337+P337+Q337+R337</f>
        <v>0</v>
      </c>
      <c r="T337" s="34" t="str">
        <f aca="false">IF(A337="","",IFERROR(INDEX(Customers!$B$5:$B$204,MATCH(C337,Customers!$A$5:$A$204,0))&amp;"",""))</f>
        <v/>
      </c>
      <c r="U337" s="38" t="str">
        <f aca="false">IF(A337="","",IF(T337&lt;&gt;"","B2B",IF(AND(O337="Yes",SUMIF($A$5:$A$1004,A337,$L$5:$L$1004)+SUMIF($A$5:$A$1004,A337,$P$5:$P$1004)&gt;100000),"B2CL","B2CS")))</f>
        <v/>
      </c>
      <c r="V337" s="17" t="str">
        <f aca="false">IF(A337="","",TEXT(B337,"mmm-yyyy"))</f>
        <v/>
      </c>
    </row>
    <row r="338" customFormat="false" ht="15" hidden="false" customHeight="true" outlineLevel="0" collapsed="false">
      <c r="A338" s="24"/>
      <c r="B338" s="39"/>
      <c r="C338" s="24"/>
      <c r="D338" s="24"/>
      <c r="E338" s="40"/>
      <c r="F338" s="29"/>
      <c r="G338" s="30"/>
      <c r="H338" s="17" t="str">
        <f aca="false">IF(A338="","",A338&amp;"|"&amp;COUNTIF(A$5:A338,A338))</f>
        <v/>
      </c>
      <c r="I338" s="33" t="str">
        <f aca="false">IF(A338="","",IFERROR(INDEX(Items!$B$5:$B$304,MATCH(D338,Items!$A$5:$A$304,0))&amp;"",""))</f>
        <v/>
      </c>
      <c r="J338" s="34" t="str">
        <f aca="false">IF(A338="","",IFERROR(INDEX(Items!$C$5:$C$304,MATCH(D338,Items!$A$5:$A$304,0))&amp;"",""))</f>
        <v/>
      </c>
      <c r="K338" s="35" t="n">
        <f aca="false">IF(A338="",0,IF(ISNUMBER(F338),F338,IFERROR(INDEX(Items!$D$5:$D$304,MATCH(D338,Items!$A$5:$A$304,0)),0)))</f>
        <v>0</v>
      </c>
      <c r="L338" s="35" t="n">
        <f aca="false">ROUND(N(E338)*K338*(1-N(G338)),2)</f>
        <v>0</v>
      </c>
      <c r="M338" s="36" t="n">
        <f aca="false">IF(A338="",0,IFERROR(INDEX(Items!$E$5:$E$304,MATCH(D338,Items!$A$5:$A$304,0)),0))</f>
        <v>0</v>
      </c>
      <c r="N338" s="37" t="str">
        <f aca="false">IF(A338="","",IFERROR(INDEX(Customers!$E$5:$E$204,MATCH(C338,Customers!$A$5:$A$204,0)),"?"))</f>
        <v/>
      </c>
      <c r="O338" s="38" t="str">
        <f aca="false">IF(A338="","",IF(N338=Settings!$B$17,"No","Yes"))</f>
        <v/>
      </c>
      <c r="P338" s="35" t="n">
        <f aca="false">IF(O338="Yes",ROUND(L338*M338,2),0)</f>
        <v>0</v>
      </c>
      <c r="Q338" s="35" t="n">
        <f aca="false">IF(O338="No",ROUND(L338*M338/2,2),0)</f>
        <v>0</v>
      </c>
      <c r="R338" s="35" t="n">
        <f aca="false">Q338</f>
        <v>0</v>
      </c>
      <c r="S338" s="35" t="n">
        <f aca="false">L338+P338+Q338+R338</f>
        <v>0</v>
      </c>
      <c r="T338" s="34" t="str">
        <f aca="false">IF(A338="","",IFERROR(INDEX(Customers!$B$5:$B$204,MATCH(C338,Customers!$A$5:$A$204,0))&amp;"",""))</f>
        <v/>
      </c>
      <c r="U338" s="38" t="str">
        <f aca="false">IF(A338="","",IF(T338&lt;&gt;"","B2B",IF(AND(O338="Yes",SUMIF($A$5:$A$1004,A338,$L$5:$L$1004)+SUMIF($A$5:$A$1004,A338,$P$5:$P$1004)&gt;100000),"B2CL","B2CS")))</f>
        <v/>
      </c>
      <c r="V338" s="17" t="str">
        <f aca="false">IF(A338="","",TEXT(B338,"mmm-yyyy"))</f>
        <v/>
      </c>
    </row>
    <row r="339" customFormat="false" ht="15" hidden="false" customHeight="true" outlineLevel="0" collapsed="false">
      <c r="A339" s="24"/>
      <c r="B339" s="39"/>
      <c r="C339" s="24"/>
      <c r="D339" s="24"/>
      <c r="E339" s="40"/>
      <c r="F339" s="29"/>
      <c r="G339" s="30"/>
      <c r="H339" s="17" t="str">
        <f aca="false">IF(A339="","",A339&amp;"|"&amp;COUNTIF(A$5:A339,A339))</f>
        <v/>
      </c>
      <c r="I339" s="33" t="str">
        <f aca="false">IF(A339="","",IFERROR(INDEX(Items!$B$5:$B$304,MATCH(D339,Items!$A$5:$A$304,0))&amp;"",""))</f>
        <v/>
      </c>
      <c r="J339" s="34" t="str">
        <f aca="false">IF(A339="","",IFERROR(INDEX(Items!$C$5:$C$304,MATCH(D339,Items!$A$5:$A$304,0))&amp;"",""))</f>
        <v/>
      </c>
      <c r="K339" s="35" t="n">
        <f aca="false">IF(A339="",0,IF(ISNUMBER(F339),F339,IFERROR(INDEX(Items!$D$5:$D$304,MATCH(D339,Items!$A$5:$A$304,0)),0)))</f>
        <v>0</v>
      </c>
      <c r="L339" s="35" t="n">
        <f aca="false">ROUND(N(E339)*K339*(1-N(G339)),2)</f>
        <v>0</v>
      </c>
      <c r="M339" s="36" t="n">
        <f aca="false">IF(A339="",0,IFERROR(INDEX(Items!$E$5:$E$304,MATCH(D339,Items!$A$5:$A$304,0)),0))</f>
        <v>0</v>
      </c>
      <c r="N339" s="37" t="str">
        <f aca="false">IF(A339="","",IFERROR(INDEX(Customers!$E$5:$E$204,MATCH(C339,Customers!$A$5:$A$204,0)),"?"))</f>
        <v/>
      </c>
      <c r="O339" s="38" t="str">
        <f aca="false">IF(A339="","",IF(N339=Settings!$B$17,"No","Yes"))</f>
        <v/>
      </c>
      <c r="P339" s="35" t="n">
        <f aca="false">IF(O339="Yes",ROUND(L339*M339,2),0)</f>
        <v>0</v>
      </c>
      <c r="Q339" s="35" t="n">
        <f aca="false">IF(O339="No",ROUND(L339*M339/2,2),0)</f>
        <v>0</v>
      </c>
      <c r="R339" s="35" t="n">
        <f aca="false">Q339</f>
        <v>0</v>
      </c>
      <c r="S339" s="35" t="n">
        <f aca="false">L339+P339+Q339+R339</f>
        <v>0</v>
      </c>
      <c r="T339" s="34" t="str">
        <f aca="false">IF(A339="","",IFERROR(INDEX(Customers!$B$5:$B$204,MATCH(C339,Customers!$A$5:$A$204,0))&amp;"",""))</f>
        <v/>
      </c>
      <c r="U339" s="38" t="str">
        <f aca="false">IF(A339="","",IF(T339&lt;&gt;"","B2B",IF(AND(O339="Yes",SUMIF($A$5:$A$1004,A339,$L$5:$L$1004)+SUMIF($A$5:$A$1004,A339,$P$5:$P$1004)&gt;100000),"B2CL","B2CS")))</f>
        <v/>
      </c>
      <c r="V339" s="17" t="str">
        <f aca="false">IF(A339="","",TEXT(B339,"mmm-yyyy"))</f>
        <v/>
      </c>
    </row>
    <row r="340" customFormat="false" ht="15" hidden="false" customHeight="true" outlineLevel="0" collapsed="false">
      <c r="A340" s="24"/>
      <c r="B340" s="39"/>
      <c r="C340" s="24"/>
      <c r="D340" s="24"/>
      <c r="E340" s="40"/>
      <c r="F340" s="29"/>
      <c r="G340" s="30"/>
      <c r="H340" s="17" t="str">
        <f aca="false">IF(A340="","",A340&amp;"|"&amp;COUNTIF(A$5:A340,A340))</f>
        <v/>
      </c>
      <c r="I340" s="33" t="str">
        <f aca="false">IF(A340="","",IFERROR(INDEX(Items!$B$5:$B$304,MATCH(D340,Items!$A$5:$A$304,0))&amp;"",""))</f>
        <v/>
      </c>
      <c r="J340" s="34" t="str">
        <f aca="false">IF(A340="","",IFERROR(INDEX(Items!$C$5:$C$304,MATCH(D340,Items!$A$5:$A$304,0))&amp;"",""))</f>
        <v/>
      </c>
      <c r="K340" s="35" t="n">
        <f aca="false">IF(A340="",0,IF(ISNUMBER(F340),F340,IFERROR(INDEX(Items!$D$5:$D$304,MATCH(D340,Items!$A$5:$A$304,0)),0)))</f>
        <v>0</v>
      </c>
      <c r="L340" s="35" t="n">
        <f aca="false">ROUND(N(E340)*K340*(1-N(G340)),2)</f>
        <v>0</v>
      </c>
      <c r="M340" s="36" t="n">
        <f aca="false">IF(A340="",0,IFERROR(INDEX(Items!$E$5:$E$304,MATCH(D340,Items!$A$5:$A$304,0)),0))</f>
        <v>0</v>
      </c>
      <c r="N340" s="37" t="str">
        <f aca="false">IF(A340="","",IFERROR(INDEX(Customers!$E$5:$E$204,MATCH(C340,Customers!$A$5:$A$204,0)),"?"))</f>
        <v/>
      </c>
      <c r="O340" s="38" t="str">
        <f aca="false">IF(A340="","",IF(N340=Settings!$B$17,"No","Yes"))</f>
        <v/>
      </c>
      <c r="P340" s="35" t="n">
        <f aca="false">IF(O340="Yes",ROUND(L340*M340,2),0)</f>
        <v>0</v>
      </c>
      <c r="Q340" s="35" t="n">
        <f aca="false">IF(O340="No",ROUND(L340*M340/2,2),0)</f>
        <v>0</v>
      </c>
      <c r="R340" s="35" t="n">
        <f aca="false">Q340</f>
        <v>0</v>
      </c>
      <c r="S340" s="35" t="n">
        <f aca="false">L340+P340+Q340+R340</f>
        <v>0</v>
      </c>
      <c r="T340" s="34" t="str">
        <f aca="false">IF(A340="","",IFERROR(INDEX(Customers!$B$5:$B$204,MATCH(C340,Customers!$A$5:$A$204,0))&amp;"",""))</f>
        <v/>
      </c>
      <c r="U340" s="38" t="str">
        <f aca="false">IF(A340="","",IF(T340&lt;&gt;"","B2B",IF(AND(O340="Yes",SUMIF($A$5:$A$1004,A340,$L$5:$L$1004)+SUMIF($A$5:$A$1004,A340,$P$5:$P$1004)&gt;100000),"B2CL","B2CS")))</f>
        <v/>
      </c>
      <c r="V340" s="17" t="str">
        <f aca="false">IF(A340="","",TEXT(B340,"mmm-yyyy"))</f>
        <v/>
      </c>
    </row>
    <row r="341" customFormat="false" ht="15" hidden="false" customHeight="true" outlineLevel="0" collapsed="false">
      <c r="A341" s="24"/>
      <c r="B341" s="39"/>
      <c r="C341" s="24"/>
      <c r="D341" s="24"/>
      <c r="E341" s="40"/>
      <c r="F341" s="29"/>
      <c r="G341" s="30"/>
      <c r="H341" s="17" t="str">
        <f aca="false">IF(A341="","",A341&amp;"|"&amp;COUNTIF(A$5:A341,A341))</f>
        <v/>
      </c>
      <c r="I341" s="33" t="str">
        <f aca="false">IF(A341="","",IFERROR(INDEX(Items!$B$5:$B$304,MATCH(D341,Items!$A$5:$A$304,0))&amp;"",""))</f>
        <v/>
      </c>
      <c r="J341" s="34" t="str">
        <f aca="false">IF(A341="","",IFERROR(INDEX(Items!$C$5:$C$304,MATCH(D341,Items!$A$5:$A$304,0))&amp;"",""))</f>
        <v/>
      </c>
      <c r="K341" s="35" t="n">
        <f aca="false">IF(A341="",0,IF(ISNUMBER(F341),F341,IFERROR(INDEX(Items!$D$5:$D$304,MATCH(D341,Items!$A$5:$A$304,0)),0)))</f>
        <v>0</v>
      </c>
      <c r="L341" s="35" t="n">
        <f aca="false">ROUND(N(E341)*K341*(1-N(G341)),2)</f>
        <v>0</v>
      </c>
      <c r="M341" s="36" t="n">
        <f aca="false">IF(A341="",0,IFERROR(INDEX(Items!$E$5:$E$304,MATCH(D341,Items!$A$5:$A$304,0)),0))</f>
        <v>0</v>
      </c>
      <c r="N341" s="37" t="str">
        <f aca="false">IF(A341="","",IFERROR(INDEX(Customers!$E$5:$E$204,MATCH(C341,Customers!$A$5:$A$204,0)),"?"))</f>
        <v/>
      </c>
      <c r="O341" s="38" t="str">
        <f aca="false">IF(A341="","",IF(N341=Settings!$B$17,"No","Yes"))</f>
        <v/>
      </c>
      <c r="P341" s="35" t="n">
        <f aca="false">IF(O341="Yes",ROUND(L341*M341,2),0)</f>
        <v>0</v>
      </c>
      <c r="Q341" s="35" t="n">
        <f aca="false">IF(O341="No",ROUND(L341*M341/2,2),0)</f>
        <v>0</v>
      </c>
      <c r="R341" s="35" t="n">
        <f aca="false">Q341</f>
        <v>0</v>
      </c>
      <c r="S341" s="35" t="n">
        <f aca="false">L341+P341+Q341+R341</f>
        <v>0</v>
      </c>
      <c r="T341" s="34" t="str">
        <f aca="false">IF(A341="","",IFERROR(INDEX(Customers!$B$5:$B$204,MATCH(C341,Customers!$A$5:$A$204,0))&amp;"",""))</f>
        <v/>
      </c>
      <c r="U341" s="38" t="str">
        <f aca="false">IF(A341="","",IF(T341&lt;&gt;"","B2B",IF(AND(O341="Yes",SUMIF($A$5:$A$1004,A341,$L$5:$L$1004)+SUMIF($A$5:$A$1004,A341,$P$5:$P$1004)&gt;100000),"B2CL","B2CS")))</f>
        <v/>
      </c>
      <c r="V341" s="17" t="str">
        <f aca="false">IF(A341="","",TEXT(B341,"mmm-yyyy"))</f>
        <v/>
      </c>
    </row>
    <row r="342" customFormat="false" ht="15" hidden="false" customHeight="true" outlineLevel="0" collapsed="false">
      <c r="A342" s="24"/>
      <c r="B342" s="39"/>
      <c r="C342" s="24"/>
      <c r="D342" s="24"/>
      <c r="E342" s="40"/>
      <c r="F342" s="29"/>
      <c r="G342" s="30"/>
      <c r="H342" s="17" t="str">
        <f aca="false">IF(A342="","",A342&amp;"|"&amp;COUNTIF(A$5:A342,A342))</f>
        <v/>
      </c>
      <c r="I342" s="33" t="str">
        <f aca="false">IF(A342="","",IFERROR(INDEX(Items!$B$5:$B$304,MATCH(D342,Items!$A$5:$A$304,0))&amp;"",""))</f>
        <v/>
      </c>
      <c r="J342" s="34" t="str">
        <f aca="false">IF(A342="","",IFERROR(INDEX(Items!$C$5:$C$304,MATCH(D342,Items!$A$5:$A$304,0))&amp;"",""))</f>
        <v/>
      </c>
      <c r="K342" s="35" t="n">
        <f aca="false">IF(A342="",0,IF(ISNUMBER(F342),F342,IFERROR(INDEX(Items!$D$5:$D$304,MATCH(D342,Items!$A$5:$A$304,0)),0)))</f>
        <v>0</v>
      </c>
      <c r="L342" s="35" t="n">
        <f aca="false">ROUND(N(E342)*K342*(1-N(G342)),2)</f>
        <v>0</v>
      </c>
      <c r="M342" s="36" t="n">
        <f aca="false">IF(A342="",0,IFERROR(INDEX(Items!$E$5:$E$304,MATCH(D342,Items!$A$5:$A$304,0)),0))</f>
        <v>0</v>
      </c>
      <c r="N342" s="37" t="str">
        <f aca="false">IF(A342="","",IFERROR(INDEX(Customers!$E$5:$E$204,MATCH(C342,Customers!$A$5:$A$204,0)),"?"))</f>
        <v/>
      </c>
      <c r="O342" s="38" t="str">
        <f aca="false">IF(A342="","",IF(N342=Settings!$B$17,"No","Yes"))</f>
        <v/>
      </c>
      <c r="P342" s="35" t="n">
        <f aca="false">IF(O342="Yes",ROUND(L342*M342,2),0)</f>
        <v>0</v>
      </c>
      <c r="Q342" s="35" t="n">
        <f aca="false">IF(O342="No",ROUND(L342*M342/2,2),0)</f>
        <v>0</v>
      </c>
      <c r="R342" s="35" t="n">
        <f aca="false">Q342</f>
        <v>0</v>
      </c>
      <c r="S342" s="35" t="n">
        <f aca="false">L342+P342+Q342+R342</f>
        <v>0</v>
      </c>
      <c r="T342" s="34" t="str">
        <f aca="false">IF(A342="","",IFERROR(INDEX(Customers!$B$5:$B$204,MATCH(C342,Customers!$A$5:$A$204,0))&amp;"",""))</f>
        <v/>
      </c>
      <c r="U342" s="38" t="str">
        <f aca="false">IF(A342="","",IF(T342&lt;&gt;"","B2B",IF(AND(O342="Yes",SUMIF($A$5:$A$1004,A342,$L$5:$L$1004)+SUMIF($A$5:$A$1004,A342,$P$5:$P$1004)&gt;100000),"B2CL","B2CS")))</f>
        <v/>
      </c>
      <c r="V342" s="17" t="str">
        <f aca="false">IF(A342="","",TEXT(B342,"mmm-yyyy"))</f>
        <v/>
      </c>
    </row>
    <row r="343" customFormat="false" ht="15" hidden="false" customHeight="true" outlineLevel="0" collapsed="false">
      <c r="A343" s="24"/>
      <c r="B343" s="39"/>
      <c r="C343" s="24"/>
      <c r="D343" s="24"/>
      <c r="E343" s="40"/>
      <c r="F343" s="29"/>
      <c r="G343" s="30"/>
      <c r="H343" s="17" t="str">
        <f aca="false">IF(A343="","",A343&amp;"|"&amp;COUNTIF(A$5:A343,A343))</f>
        <v/>
      </c>
      <c r="I343" s="33" t="str">
        <f aca="false">IF(A343="","",IFERROR(INDEX(Items!$B$5:$B$304,MATCH(D343,Items!$A$5:$A$304,0))&amp;"",""))</f>
        <v/>
      </c>
      <c r="J343" s="34" t="str">
        <f aca="false">IF(A343="","",IFERROR(INDEX(Items!$C$5:$C$304,MATCH(D343,Items!$A$5:$A$304,0))&amp;"",""))</f>
        <v/>
      </c>
      <c r="K343" s="35" t="n">
        <f aca="false">IF(A343="",0,IF(ISNUMBER(F343),F343,IFERROR(INDEX(Items!$D$5:$D$304,MATCH(D343,Items!$A$5:$A$304,0)),0)))</f>
        <v>0</v>
      </c>
      <c r="L343" s="35" t="n">
        <f aca="false">ROUND(N(E343)*K343*(1-N(G343)),2)</f>
        <v>0</v>
      </c>
      <c r="M343" s="36" t="n">
        <f aca="false">IF(A343="",0,IFERROR(INDEX(Items!$E$5:$E$304,MATCH(D343,Items!$A$5:$A$304,0)),0))</f>
        <v>0</v>
      </c>
      <c r="N343" s="37" t="str">
        <f aca="false">IF(A343="","",IFERROR(INDEX(Customers!$E$5:$E$204,MATCH(C343,Customers!$A$5:$A$204,0)),"?"))</f>
        <v/>
      </c>
      <c r="O343" s="38" t="str">
        <f aca="false">IF(A343="","",IF(N343=Settings!$B$17,"No","Yes"))</f>
        <v/>
      </c>
      <c r="P343" s="35" t="n">
        <f aca="false">IF(O343="Yes",ROUND(L343*M343,2),0)</f>
        <v>0</v>
      </c>
      <c r="Q343" s="35" t="n">
        <f aca="false">IF(O343="No",ROUND(L343*M343/2,2),0)</f>
        <v>0</v>
      </c>
      <c r="R343" s="35" t="n">
        <f aca="false">Q343</f>
        <v>0</v>
      </c>
      <c r="S343" s="35" t="n">
        <f aca="false">L343+P343+Q343+R343</f>
        <v>0</v>
      </c>
      <c r="T343" s="34" t="str">
        <f aca="false">IF(A343="","",IFERROR(INDEX(Customers!$B$5:$B$204,MATCH(C343,Customers!$A$5:$A$204,0))&amp;"",""))</f>
        <v/>
      </c>
      <c r="U343" s="38" t="str">
        <f aca="false">IF(A343="","",IF(T343&lt;&gt;"","B2B",IF(AND(O343="Yes",SUMIF($A$5:$A$1004,A343,$L$5:$L$1004)+SUMIF($A$5:$A$1004,A343,$P$5:$P$1004)&gt;100000),"B2CL","B2CS")))</f>
        <v/>
      </c>
      <c r="V343" s="17" t="str">
        <f aca="false">IF(A343="","",TEXT(B343,"mmm-yyyy"))</f>
        <v/>
      </c>
    </row>
    <row r="344" customFormat="false" ht="15" hidden="false" customHeight="true" outlineLevel="0" collapsed="false">
      <c r="A344" s="24"/>
      <c r="B344" s="39"/>
      <c r="C344" s="24"/>
      <c r="D344" s="24"/>
      <c r="E344" s="40"/>
      <c r="F344" s="29"/>
      <c r="G344" s="30"/>
      <c r="H344" s="17" t="str">
        <f aca="false">IF(A344="","",A344&amp;"|"&amp;COUNTIF(A$5:A344,A344))</f>
        <v/>
      </c>
      <c r="I344" s="33" t="str">
        <f aca="false">IF(A344="","",IFERROR(INDEX(Items!$B$5:$B$304,MATCH(D344,Items!$A$5:$A$304,0))&amp;"",""))</f>
        <v/>
      </c>
      <c r="J344" s="34" t="str">
        <f aca="false">IF(A344="","",IFERROR(INDEX(Items!$C$5:$C$304,MATCH(D344,Items!$A$5:$A$304,0))&amp;"",""))</f>
        <v/>
      </c>
      <c r="K344" s="35" t="n">
        <f aca="false">IF(A344="",0,IF(ISNUMBER(F344),F344,IFERROR(INDEX(Items!$D$5:$D$304,MATCH(D344,Items!$A$5:$A$304,0)),0)))</f>
        <v>0</v>
      </c>
      <c r="L344" s="35" t="n">
        <f aca="false">ROUND(N(E344)*K344*(1-N(G344)),2)</f>
        <v>0</v>
      </c>
      <c r="M344" s="36" t="n">
        <f aca="false">IF(A344="",0,IFERROR(INDEX(Items!$E$5:$E$304,MATCH(D344,Items!$A$5:$A$304,0)),0))</f>
        <v>0</v>
      </c>
      <c r="N344" s="37" t="str">
        <f aca="false">IF(A344="","",IFERROR(INDEX(Customers!$E$5:$E$204,MATCH(C344,Customers!$A$5:$A$204,0)),"?"))</f>
        <v/>
      </c>
      <c r="O344" s="38" t="str">
        <f aca="false">IF(A344="","",IF(N344=Settings!$B$17,"No","Yes"))</f>
        <v/>
      </c>
      <c r="P344" s="35" t="n">
        <f aca="false">IF(O344="Yes",ROUND(L344*M344,2),0)</f>
        <v>0</v>
      </c>
      <c r="Q344" s="35" t="n">
        <f aca="false">IF(O344="No",ROUND(L344*M344/2,2),0)</f>
        <v>0</v>
      </c>
      <c r="R344" s="35" t="n">
        <f aca="false">Q344</f>
        <v>0</v>
      </c>
      <c r="S344" s="35" t="n">
        <f aca="false">L344+P344+Q344+R344</f>
        <v>0</v>
      </c>
      <c r="T344" s="34" t="str">
        <f aca="false">IF(A344="","",IFERROR(INDEX(Customers!$B$5:$B$204,MATCH(C344,Customers!$A$5:$A$204,0))&amp;"",""))</f>
        <v/>
      </c>
      <c r="U344" s="38" t="str">
        <f aca="false">IF(A344="","",IF(T344&lt;&gt;"","B2B",IF(AND(O344="Yes",SUMIF($A$5:$A$1004,A344,$L$5:$L$1004)+SUMIF($A$5:$A$1004,A344,$P$5:$P$1004)&gt;100000),"B2CL","B2CS")))</f>
        <v/>
      </c>
      <c r="V344" s="17" t="str">
        <f aca="false">IF(A344="","",TEXT(B344,"mmm-yyyy"))</f>
        <v/>
      </c>
    </row>
    <row r="345" customFormat="false" ht="15" hidden="false" customHeight="true" outlineLevel="0" collapsed="false">
      <c r="A345" s="24"/>
      <c r="B345" s="39"/>
      <c r="C345" s="24"/>
      <c r="D345" s="24"/>
      <c r="E345" s="40"/>
      <c r="F345" s="29"/>
      <c r="G345" s="30"/>
      <c r="H345" s="17" t="str">
        <f aca="false">IF(A345="","",A345&amp;"|"&amp;COUNTIF(A$5:A345,A345))</f>
        <v/>
      </c>
      <c r="I345" s="33" t="str">
        <f aca="false">IF(A345="","",IFERROR(INDEX(Items!$B$5:$B$304,MATCH(D345,Items!$A$5:$A$304,0))&amp;"",""))</f>
        <v/>
      </c>
      <c r="J345" s="34" t="str">
        <f aca="false">IF(A345="","",IFERROR(INDEX(Items!$C$5:$C$304,MATCH(D345,Items!$A$5:$A$304,0))&amp;"",""))</f>
        <v/>
      </c>
      <c r="K345" s="35" t="n">
        <f aca="false">IF(A345="",0,IF(ISNUMBER(F345),F345,IFERROR(INDEX(Items!$D$5:$D$304,MATCH(D345,Items!$A$5:$A$304,0)),0)))</f>
        <v>0</v>
      </c>
      <c r="L345" s="35" t="n">
        <f aca="false">ROUND(N(E345)*K345*(1-N(G345)),2)</f>
        <v>0</v>
      </c>
      <c r="M345" s="36" t="n">
        <f aca="false">IF(A345="",0,IFERROR(INDEX(Items!$E$5:$E$304,MATCH(D345,Items!$A$5:$A$304,0)),0))</f>
        <v>0</v>
      </c>
      <c r="N345" s="37" t="str">
        <f aca="false">IF(A345="","",IFERROR(INDEX(Customers!$E$5:$E$204,MATCH(C345,Customers!$A$5:$A$204,0)),"?"))</f>
        <v/>
      </c>
      <c r="O345" s="38" t="str">
        <f aca="false">IF(A345="","",IF(N345=Settings!$B$17,"No","Yes"))</f>
        <v/>
      </c>
      <c r="P345" s="35" t="n">
        <f aca="false">IF(O345="Yes",ROUND(L345*M345,2),0)</f>
        <v>0</v>
      </c>
      <c r="Q345" s="35" t="n">
        <f aca="false">IF(O345="No",ROUND(L345*M345/2,2),0)</f>
        <v>0</v>
      </c>
      <c r="R345" s="35" t="n">
        <f aca="false">Q345</f>
        <v>0</v>
      </c>
      <c r="S345" s="35" t="n">
        <f aca="false">L345+P345+Q345+R345</f>
        <v>0</v>
      </c>
      <c r="T345" s="34" t="str">
        <f aca="false">IF(A345="","",IFERROR(INDEX(Customers!$B$5:$B$204,MATCH(C345,Customers!$A$5:$A$204,0))&amp;"",""))</f>
        <v/>
      </c>
      <c r="U345" s="38" t="str">
        <f aca="false">IF(A345="","",IF(T345&lt;&gt;"","B2B",IF(AND(O345="Yes",SUMIF($A$5:$A$1004,A345,$L$5:$L$1004)+SUMIF($A$5:$A$1004,A345,$P$5:$P$1004)&gt;100000),"B2CL","B2CS")))</f>
        <v/>
      </c>
      <c r="V345" s="17" t="str">
        <f aca="false">IF(A345="","",TEXT(B345,"mmm-yyyy"))</f>
        <v/>
      </c>
    </row>
    <row r="346" customFormat="false" ht="15" hidden="false" customHeight="true" outlineLevel="0" collapsed="false">
      <c r="A346" s="24"/>
      <c r="B346" s="39"/>
      <c r="C346" s="24"/>
      <c r="D346" s="24"/>
      <c r="E346" s="40"/>
      <c r="F346" s="29"/>
      <c r="G346" s="30"/>
      <c r="H346" s="17" t="str">
        <f aca="false">IF(A346="","",A346&amp;"|"&amp;COUNTIF(A$5:A346,A346))</f>
        <v/>
      </c>
      <c r="I346" s="33" t="str">
        <f aca="false">IF(A346="","",IFERROR(INDEX(Items!$B$5:$B$304,MATCH(D346,Items!$A$5:$A$304,0))&amp;"",""))</f>
        <v/>
      </c>
      <c r="J346" s="34" t="str">
        <f aca="false">IF(A346="","",IFERROR(INDEX(Items!$C$5:$C$304,MATCH(D346,Items!$A$5:$A$304,0))&amp;"",""))</f>
        <v/>
      </c>
      <c r="K346" s="35" t="n">
        <f aca="false">IF(A346="",0,IF(ISNUMBER(F346),F346,IFERROR(INDEX(Items!$D$5:$D$304,MATCH(D346,Items!$A$5:$A$304,0)),0)))</f>
        <v>0</v>
      </c>
      <c r="L346" s="35" t="n">
        <f aca="false">ROUND(N(E346)*K346*(1-N(G346)),2)</f>
        <v>0</v>
      </c>
      <c r="M346" s="36" t="n">
        <f aca="false">IF(A346="",0,IFERROR(INDEX(Items!$E$5:$E$304,MATCH(D346,Items!$A$5:$A$304,0)),0))</f>
        <v>0</v>
      </c>
      <c r="N346" s="37" t="str">
        <f aca="false">IF(A346="","",IFERROR(INDEX(Customers!$E$5:$E$204,MATCH(C346,Customers!$A$5:$A$204,0)),"?"))</f>
        <v/>
      </c>
      <c r="O346" s="38" t="str">
        <f aca="false">IF(A346="","",IF(N346=Settings!$B$17,"No","Yes"))</f>
        <v/>
      </c>
      <c r="P346" s="35" t="n">
        <f aca="false">IF(O346="Yes",ROUND(L346*M346,2),0)</f>
        <v>0</v>
      </c>
      <c r="Q346" s="35" t="n">
        <f aca="false">IF(O346="No",ROUND(L346*M346/2,2),0)</f>
        <v>0</v>
      </c>
      <c r="R346" s="35" t="n">
        <f aca="false">Q346</f>
        <v>0</v>
      </c>
      <c r="S346" s="35" t="n">
        <f aca="false">L346+P346+Q346+R346</f>
        <v>0</v>
      </c>
      <c r="T346" s="34" t="str">
        <f aca="false">IF(A346="","",IFERROR(INDEX(Customers!$B$5:$B$204,MATCH(C346,Customers!$A$5:$A$204,0))&amp;"",""))</f>
        <v/>
      </c>
      <c r="U346" s="38" t="str">
        <f aca="false">IF(A346="","",IF(T346&lt;&gt;"","B2B",IF(AND(O346="Yes",SUMIF($A$5:$A$1004,A346,$L$5:$L$1004)+SUMIF($A$5:$A$1004,A346,$P$5:$P$1004)&gt;100000),"B2CL","B2CS")))</f>
        <v/>
      </c>
      <c r="V346" s="17" t="str">
        <f aca="false">IF(A346="","",TEXT(B346,"mmm-yyyy"))</f>
        <v/>
      </c>
    </row>
    <row r="347" customFormat="false" ht="15" hidden="false" customHeight="true" outlineLevel="0" collapsed="false">
      <c r="A347" s="24"/>
      <c r="B347" s="39"/>
      <c r="C347" s="24"/>
      <c r="D347" s="24"/>
      <c r="E347" s="40"/>
      <c r="F347" s="29"/>
      <c r="G347" s="30"/>
      <c r="H347" s="17" t="str">
        <f aca="false">IF(A347="","",A347&amp;"|"&amp;COUNTIF(A$5:A347,A347))</f>
        <v/>
      </c>
      <c r="I347" s="33" t="str">
        <f aca="false">IF(A347="","",IFERROR(INDEX(Items!$B$5:$B$304,MATCH(D347,Items!$A$5:$A$304,0))&amp;"",""))</f>
        <v/>
      </c>
      <c r="J347" s="34" t="str">
        <f aca="false">IF(A347="","",IFERROR(INDEX(Items!$C$5:$C$304,MATCH(D347,Items!$A$5:$A$304,0))&amp;"",""))</f>
        <v/>
      </c>
      <c r="K347" s="35" t="n">
        <f aca="false">IF(A347="",0,IF(ISNUMBER(F347),F347,IFERROR(INDEX(Items!$D$5:$D$304,MATCH(D347,Items!$A$5:$A$304,0)),0)))</f>
        <v>0</v>
      </c>
      <c r="L347" s="35" t="n">
        <f aca="false">ROUND(N(E347)*K347*(1-N(G347)),2)</f>
        <v>0</v>
      </c>
      <c r="M347" s="36" t="n">
        <f aca="false">IF(A347="",0,IFERROR(INDEX(Items!$E$5:$E$304,MATCH(D347,Items!$A$5:$A$304,0)),0))</f>
        <v>0</v>
      </c>
      <c r="N347" s="37" t="str">
        <f aca="false">IF(A347="","",IFERROR(INDEX(Customers!$E$5:$E$204,MATCH(C347,Customers!$A$5:$A$204,0)),"?"))</f>
        <v/>
      </c>
      <c r="O347" s="38" t="str">
        <f aca="false">IF(A347="","",IF(N347=Settings!$B$17,"No","Yes"))</f>
        <v/>
      </c>
      <c r="P347" s="35" t="n">
        <f aca="false">IF(O347="Yes",ROUND(L347*M347,2),0)</f>
        <v>0</v>
      </c>
      <c r="Q347" s="35" t="n">
        <f aca="false">IF(O347="No",ROUND(L347*M347/2,2),0)</f>
        <v>0</v>
      </c>
      <c r="R347" s="35" t="n">
        <f aca="false">Q347</f>
        <v>0</v>
      </c>
      <c r="S347" s="35" t="n">
        <f aca="false">L347+P347+Q347+R347</f>
        <v>0</v>
      </c>
      <c r="T347" s="34" t="str">
        <f aca="false">IF(A347="","",IFERROR(INDEX(Customers!$B$5:$B$204,MATCH(C347,Customers!$A$5:$A$204,0))&amp;"",""))</f>
        <v/>
      </c>
      <c r="U347" s="38" t="str">
        <f aca="false">IF(A347="","",IF(T347&lt;&gt;"","B2B",IF(AND(O347="Yes",SUMIF($A$5:$A$1004,A347,$L$5:$L$1004)+SUMIF($A$5:$A$1004,A347,$P$5:$P$1004)&gt;100000),"B2CL","B2CS")))</f>
        <v/>
      </c>
      <c r="V347" s="17" t="str">
        <f aca="false">IF(A347="","",TEXT(B347,"mmm-yyyy"))</f>
        <v/>
      </c>
    </row>
    <row r="348" customFormat="false" ht="15" hidden="false" customHeight="true" outlineLevel="0" collapsed="false">
      <c r="A348" s="24"/>
      <c r="B348" s="39"/>
      <c r="C348" s="24"/>
      <c r="D348" s="24"/>
      <c r="E348" s="40"/>
      <c r="F348" s="29"/>
      <c r="G348" s="30"/>
      <c r="H348" s="17" t="str">
        <f aca="false">IF(A348="","",A348&amp;"|"&amp;COUNTIF(A$5:A348,A348))</f>
        <v/>
      </c>
      <c r="I348" s="33" t="str">
        <f aca="false">IF(A348="","",IFERROR(INDEX(Items!$B$5:$B$304,MATCH(D348,Items!$A$5:$A$304,0))&amp;"",""))</f>
        <v/>
      </c>
      <c r="J348" s="34" t="str">
        <f aca="false">IF(A348="","",IFERROR(INDEX(Items!$C$5:$C$304,MATCH(D348,Items!$A$5:$A$304,0))&amp;"",""))</f>
        <v/>
      </c>
      <c r="K348" s="35" t="n">
        <f aca="false">IF(A348="",0,IF(ISNUMBER(F348),F348,IFERROR(INDEX(Items!$D$5:$D$304,MATCH(D348,Items!$A$5:$A$304,0)),0)))</f>
        <v>0</v>
      </c>
      <c r="L348" s="35" t="n">
        <f aca="false">ROUND(N(E348)*K348*(1-N(G348)),2)</f>
        <v>0</v>
      </c>
      <c r="M348" s="36" t="n">
        <f aca="false">IF(A348="",0,IFERROR(INDEX(Items!$E$5:$E$304,MATCH(D348,Items!$A$5:$A$304,0)),0))</f>
        <v>0</v>
      </c>
      <c r="N348" s="37" t="str">
        <f aca="false">IF(A348="","",IFERROR(INDEX(Customers!$E$5:$E$204,MATCH(C348,Customers!$A$5:$A$204,0)),"?"))</f>
        <v/>
      </c>
      <c r="O348" s="38" t="str">
        <f aca="false">IF(A348="","",IF(N348=Settings!$B$17,"No","Yes"))</f>
        <v/>
      </c>
      <c r="P348" s="35" t="n">
        <f aca="false">IF(O348="Yes",ROUND(L348*M348,2),0)</f>
        <v>0</v>
      </c>
      <c r="Q348" s="35" t="n">
        <f aca="false">IF(O348="No",ROUND(L348*M348/2,2),0)</f>
        <v>0</v>
      </c>
      <c r="R348" s="35" t="n">
        <f aca="false">Q348</f>
        <v>0</v>
      </c>
      <c r="S348" s="35" t="n">
        <f aca="false">L348+P348+Q348+R348</f>
        <v>0</v>
      </c>
      <c r="T348" s="34" t="str">
        <f aca="false">IF(A348="","",IFERROR(INDEX(Customers!$B$5:$B$204,MATCH(C348,Customers!$A$5:$A$204,0))&amp;"",""))</f>
        <v/>
      </c>
      <c r="U348" s="38" t="str">
        <f aca="false">IF(A348="","",IF(T348&lt;&gt;"","B2B",IF(AND(O348="Yes",SUMIF($A$5:$A$1004,A348,$L$5:$L$1004)+SUMIF($A$5:$A$1004,A348,$P$5:$P$1004)&gt;100000),"B2CL","B2CS")))</f>
        <v/>
      </c>
      <c r="V348" s="17" t="str">
        <f aca="false">IF(A348="","",TEXT(B348,"mmm-yyyy"))</f>
        <v/>
      </c>
    </row>
    <row r="349" customFormat="false" ht="15" hidden="false" customHeight="true" outlineLevel="0" collapsed="false">
      <c r="A349" s="24"/>
      <c r="B349" s="39"/>
      <c r="C349" s="24"/>
      <c r="D349" s="24"/>
      <c r="E349" s="40"/>
      <c r="F349" s="29"/>
      <c r="G349" s="30"/>
      <c r="H349" s="17" t="str">
        <f aca="false">IF(A349="","",A349&amp;"|"&amp;COUNTIF(A$5:A349,A349))</f>
        <v/>
      </c>
      <c r="I349" s="33" t="str">
        <f aca="false">IF(A349="","",IFERROR(INDEX(Items!$B$5:$B$304,MATCH(D349,Items!$A$5:$A$304,0))&amp;"",""))</f>
        <v/>
      </c>
      <c r="J349" s="34" t="str">
        <f aca="false">IF(A349="","",IFERROR(INDEX(Items!$C$5:$C$304,MATCH(D349,Items!$A$5:$A$304,0))&amp;"",""))</f>
        <v/>
      </c>
      <c r="K349" s="35" t="n">
        <f aca="false">IF(A349="",0,IF(ISNUMBER(F349),F349,IFERROR(INDEX(Items!$D$5:$D$304,MATCH(D349,Items!$A$5:$A$304,0)),0)))</f>
        <v>0</v>
      </c>
      <c r="L349" s="35" t="n">
        <f aca="false">ROUND(N(E349)*K349*(1-N(G349)),2)</f>
        <v>0</v>
      </c>
      <c r="M349" s="36" t="n">
        <f aca="false">IF(A349="",0,IFERROR(INDEX(Items!$E$5:$E$304,MATCH(D349,Items!$A$5:$A$304,0)),0))</f>
        <v>0</v>
      </c>
      <c r="N349" s="37" t="str">
        <f aca="false">IF(A349="","",IFERROR(INDEX(Customers!$E$5:$E$204,MATCH(C349,Customers!$A$5:$A$204,0)),"?"))</f>
        <v/>
      </c>
      <c r="O349" s="38" t="str">
        <f aca="false">IF(A349="","",IF(N349=Settings!$B$17,"No","Yes"))</f>
        <v/>
      </c>
      <c r="P349" s="35" t="n">
        <f aca="false">IF(O349="Yes",ROUND(L349*M349,2),0)</f>
        <v>0</v>
      </c>
      <c r="Q349" s="35" t="n">
        <f aca="false">IF(O349="No",ROUND(L349*M349/2,2),0)</f>
        <v>0</v>
      </c>
      <c r="R349" s="35" t="n">
        <f aca="false">Q349</f>
        <v>0</v>
      </c>
      <c r="S349" s="35" t="n">
        <f aca="false">L349+P349+Q349+R349</f>
        <v>0</v>
      </c>
      <c r="T349" s="34" t="str">
        <f aca="false">IF(A349="","",IFERROR(INDEX(Customers!$B$5:$B$204,MATCH(C349,Customers!$A$5:$A$204,0))&amp;"",""))</f>
        <v/>
      </c>
      <c r="U349" s="38" t="str">
        <f aca="false">IF(A349="","",IF(T349&lt;&gt;"","B2B",IF(AND(O349="Yes",SUMIF($A$5:$A$1004,A349,$L$5:$L$1004)+SUMIF($A$5:$A$1004,A349,$P$5:$P$1004)&gt;100000),"B2CL","B2CS")))</f>
        <v/>
      </c>
      <c r="V349" s="17" t="str">
        <f aca="false">IF(A349="","",TEXT(B349,"mmm-yyyy"))</f>
        <v/>
      </c>
    </row>
    <row r="350" customFormat="false" ht="15" hidden="false" customHeight="true" outlineLevel="0" collapsed="false">
      <c r="A350" s="24"/>
      <c r="B350" s="39"/>
      <c r="C350" s="24"/>
      <c r="D350" s="24"/>
      <c r="E350" s="40"/>
      <c r="F350" s="29"/>
      <c r="G350" s="30"/>
      <c r="H350" s="17" t="str">
        <f aca="false">IF(A350="","",A350&amp;"|"&amp;COUNTIF(A$5:A350,A350))</f>
        <v/>
      </c>
      <c r="I350" s="33" t="str">
        <f aca="false">IF(A350="","",IFERROR(INDEX(Items!$B$5:$B$304,MATCH(D350,Items!$A$5:$A$304,0))&amp;"",""))</f>
        <v/>
      </c>
      <c r="J350" s="34" t="str">
        <f aca="false">IF(A350="","",IFERROR(INDEX(Items!$C$5:$C$304,MATCH(D350,Items!$A$5:$A$304,0))&amp;"",""))</f>
        <v/>
      </c>
      <c r="K350" s="35" t="n">
        <f aca="false">IF(A350="",0,IF(ISNUMBER(F350),F350,IFERROR(INDEX(Items!$D$5:$D$304,MATCH(D350,Items!$A$5:$A$304,0)),0)))</f>
        <v>0</v>
      </c>
      <c r="L350" s="35" t="n">
        <f aca="false">ROUND(N(E350)*K350*(1-N(G350)),2)</f>
        <v>0</v>
      </c>
      <c r="M350" s="36" t="n">
        <f aca="false">IF(A350="",0,IFERROR(INDEX(Items!$E$5:$E$304,MATCH(D350,Items!$A$5:$A$304,0)),0))</f>
        <v>0</v>
      </c>
      <c r="N350" s="37" t="str">
        <f aca="false">IF(A350="","",IFERROR(INDEX(Customers!$E$5:$E$204,MATCH(C350,Customers!$A$5:$A$204,0)),"?"))</f>
        <v/>
      </c>
      <c r="O350" s="38" t="str">
        <f aca="false">IF(A350="","",IF(N350=Settings!$B$17,"No","Yes"))</f>
        <v/>
      </c>
      <c r="P350" s="35" t="n">
        <f aca="false">IF(O350="Yes",ROUND(L350*M350,2),0)</f>
        <v>0</v>
      </c>
      <c r="Q350" s="35" t="n">
        <f aca="false">IF(O350="No",ROUND(L350*M350/2,2),0)</f>
        <v>0</v>
      </c>
      <c r="R350" s="35" t="n">
        <f aca="false">Q350</f>
        <v>0</v>
      </c>
      <c r="S350" s="35" t="n">
        <f aca="false">L350+P350+Q350+R350</f>
        <v>0</v>
      </c>
      <c r="T350" s="34" t="str">
        <f aca="false">IF(A350="","",IFERROR(INDEX(Customers!$B$5:$B$204,MATCH(C350,Customers!$A$5:$A$204,0))&amp;"",""))</f>
        <v/>
      </c>
      <c r="U350" s="38" t="str">
        <f aca="false">IF(A350="","",IF(T350&lt;&gt;"","B2B",IF(AND(O350="Yes",SUMIF($A$5:$A$1004,A350,$L$5:$L$1004)+SUMIF($A$5:$A$1004,A350,$P$5:$P$1004)&gt;100000),"B2CL","B2CS")))</f>
        <v/>
      </c>
      <c r="V350" s="17" t="str">
        <f aca="false">IF(A350="","",TEXT(B350,"mmm-yyyy"))</f>
        <v/>
      </c>
    </row>
    <row r="351" customFormat="false" ht="15" hidden="false" customHeight="true" outlineLevel="0" collapsed="false">
      <c r="A351" s="24"/>
      <c r="B351" s="39"/>
      <c r="C351" s="24"/>
      <c r="D351" s="24"/>
      <c r="E351" s="40"/>
      <c r="F351" s="29"/>
      <c r="G351" s="30"/>
      <c r="H351" s="17" t="str">
        <f aca="false">IF(A351="","",A351&amp;"|"&amp;COUNTIF(A$5:A351,A351))</f>
        <v/>
      </c>
      <c r="I351" s="33" t="str">
        <f aca="false">IF(A351="","",IFERROR(INDEX(Items!$B$5:$B$304,MATCH(D351,Items!$A$5:$A$304,0))&amp;"",""))</f>
        <v/>
      </c>
      <c r="J351" s="34" t="str">
        <f aca="false">IF(A351="","",IFERROR(INDEX(Items!$C$5:$C$304,MATCH(D351,Items!$A$5:$A$304,0))&amp;"",""))</f>
        <v/>
      </c>
      <c r="K351" s="35" t="n">
        <f aca="false">IF(A351="",0,IF(ISNUMBER(F351),F351,IFERROR(INDEX(Items!$D$5:$D$304,MATCH(D351,Items!$A$5:$A$304,0)),0)))</f>
        <v>0</v>
      </c>
      <c r="L351" s="35" t="n">
        <f aca="false">ROUND(N(E351)*K351*(1-N(G351)),2)</f>
        <v>0</v>
      </c>
      <c r="M351" s="36" t="n">
        <f aca="false">IF(A351="",0,IFERROR(INDEX(Items!$E$5:$E$304,MATCH(D351,Items!$A$5:$A$304,0)),0))</f>
        <v>0</v>
      </c>
      <c r="N351" s="37" t="str">
        <f aca="false">IF(A351="","",IFERROR(INDEX(Customers!$E$5:$E$204,MATCH(C351,Customers!$A$5:$A$204,0)),"?"))</f>
        <v/>
      </c>
      <c r="O351" s="38" t="str">
        <f aca="false">IF(A351="","",IF(N351=Settings!$B$17,"No","Yes"))</f>
        <v/>
      </c>
      <c r="P351" s="35" t="n">
        <f aca="false">IF(O351="Yes",ROUND(L351*M351,2),0)</f>
        <v>0</v>
      </c>
      <c r="Q351" s="35" t="n">
        <f aca="false">IF(O351="No",ROUND(L351*M351/2,2),0)</f>
        <v>0</v>
      </c>
      <c r="R351" s="35" t="n">
        <f aca="false">Q351</f>
        <v>0</v>
      </c>
      <c r="S351" s="35" t="n">
        <f aca="false">L351+P351+Q351+R351</f>
        <v>0</v>
      </c>
      <c r="T351" s="34" t="str">
        <f aca="false">IF(A351="","",IFERROR(INDEX(Customers!$B$5:$B$204,MATCH(C351,Customers!$A$5:$A$204,0))&amp;"",""))</f>
        <v/>
      </c>
      <c r="U351" s="38" t="str">
        <f aca="false">IF(A351="","",IF(T351&lt;&gt;"","B2B",IF(AND(O351="Yes",SUMIF($A$5:$A$1004,A351,$L$5:$L$1004)+SUMIF($A$5:$A$1004,A351,$P$5:$P$1004)&gt;100000),"B2CL","B2CS")))</f>
        <v/>
      </c>
      <c r="V351" s="17" t="str">
        <f aca="false">IF(A351="","",TEXT(B351,"mmm-yyyy"))</f>
        <v/>
      </c>
    </row>
    <row r="352" customFormat="false" ht="15" hidden="false" customHeight="true" outlineLevel="0" collapsed="false">
      <c r="A352" s="24"/>
      <c r="B352" s="39"/>
      <c r="C352" s="24"/>
      <c r="D352" s="24"/>
      <c r="E352" s="40"/>
      <c r="F352" s="29"/>
      <c r="G352" s="30"/>
      <c r="H352" s="17" t="str">
        <f aca="false">IF(A352="","",A352&amp;"|"&amp;COUNTIF(A$5:A352,A352))</f>
        <v/>
      </c>
      <c r="I352" s="33" t="str">
        <f aca="false">IF(A352="","",IFERROR(INDEX(Items!$B$5:$B$304,MATCH(D352,Items!$A$5:$A$304,0))&amp;"",""))</f>
        <v/>
      </c>
      <c r="J352" s="34" t="str">
        <f aca="false">IF(A352="","",IFERROR(INDEX(Items!$C$5:$C$304,MATCH(D352,Items!$A$5:$A$304,0))&amp;"",""))</f>
        <v/>
      </c>
      <c r="K352" s="35" t="n">
        <f aca="false">IF(A352="",0,IF(ISNUMBER(F352),F352,IFERROR(INDEX(Items!$D$5:$D$304,MATCH(D352,Items!$A$5:$A$304,0)),0)))</f>
        <v>0</v>
      </c>
      <c r="L352" s="35" t="n">
        <f aca="false">ROUND(N(E352)*K352*(1-N(G352)),2)</f>
        <v>0</v>
      </c>
      <c r="M352" s="36" t="n">
        <f aca="false">IF(A352="",0,IFERROR(INDEX(Items!$E$5:$E$304,MATCH(D352,Items!$A$5:$A$304,0)),0))</f>
        <v>0</v>
      </c>
      <c r="N352" s="37" t="str">
        <f aca="false">IF(A352="","",IFERROR(INDEX(Customers!$E$5:$E$204,MATCH(C352,Customers!$A$5:$A$204,0)),"?"))</f>
        <v/>
      </c>
      <c r="O352" s="38" t="str">
        <f aca="false">IF(A352="","",IF(N352=Settings!$B$17,"No","Yes"))</f>
        <v/>
      </c>
      <c r="P352" s="35" t="n">
        <f aca="false">IF(O352="Yes",ROUND(L352*M352,2),0)</f>
        <v>0</v>
      </c>
      <c r="Q352" s="35" t="n">
        <f aca="false">IF(O352="No",ROUND(L352*M352/2,2),0)</f>
        <v>0</v>
      </c>
      <c r="R352" s="35" t="n">
        <f aca="false">Q352</f>
        <v>0</v>
      </c>
      <c r="S352" s="35" t="n">
        <f aca="false">L352+P352+Q352+R352</f>
        <v>0</v>
      </c>
      <c r="T352" s="34" t="str">
        <f aca="false">IF(A352="","",IFERROR(INDEX(Customers!$B$5:$B$204,MATCH(C352,Customers!$A$5:$A$204,0))&amp;"",""))</f>
        <v/>
      </c>
      <c r="U352" s="38" t="str">
        <f aca="false">IF(A352="","",IF(T352&lt;&gt;"","B2B",IF(AND(O352="Yes",SUMIF($A$5:$A$1004,A352,$L$5:$L$1004)+SUMIF($A$5:$A$1004,A352,$P$5:$P$1004)&gt;100000),"B2CL","B2CS")))</f>
        <v/>
      </c>
      <c r="V352" s="17" t="str">
        <f aca="false">IF(A352="","",TEXT(B352,"mmm-yyyy"))</f>
        <v/>
      </c>
    </row>
    <row r="353" customFormat="false" ht="15" hidden="false" customHeight="true" outlineLevel="0" collapsed="false">
      <c r="A353" s="24"/>
      <c r="B353" s="39"/>
      <c r="C353" s="24"/>
      <c r="D353" s="24"/>
      <c r="E353" s="40"/>
      <c r="F353" s="29"/>
      <c r="G353" s="30"/>
      <c r="H353" s="17" t="str">
        <f aca="false">IF(A353="","",A353&amp;"|"&amp;COUNTIF(A$5:A353,A353))</f>
        <v/>
      </c>
      <c r="I353" s="33" t="str">
        <f aca="false">IF(A353="","",IFERROR(INDEX(Items!$B$5:$B$304,MATCH(D353,Items!$A$5:$A$304,0))&amp;"",""))</f>
        <v/>
      </c>
      <c r="J353" s="34" t="str">
        <f aca="false">IF(A353="","",IFERROR(INDEX(Items!$C$5:$C$304,MATCH(D353,Items!$A$5:$A$304,0))&amp;"",""))</f>
        <v/>
      </c>
      <c r="K353" s="35" t="n">
        <f aca="false">IF(A353="",0,IF(ISNUMBER(F353),F353,IFERROR(INDEX(Items!$D$5:$D$304,MATCH(D353,Items!$A$5:$A$304,0)),0)))</f>
        <v>0</v>
      </c>
      <c r="L353" s="35" t="n">
        <f aca="false">ROUND(N(E353)*K353*(1-N(G353)),2)</f>
        <v>0</v>
      </c>
      <c r="M353" s="36" t="n">
        <f aca="false">IF(A353="",0,IFERROR(INDEX(Items!$E$5:$E$304,MATCH(D353,Items!$A$5:$A$304,0)),0))</f>
        <v>0</v>
      </c>
      <c r="N353" s="37" t="str">
        <f aca="false">IF(A353="","",IFERROR(INDEX(Customers!$E$5:$E$204,MATCH(C353,Customers!$A$5:$A$204,0)),"?"))</f>
        <v/>
      </c>
      <c r="O353" s="38" t="str">
        <f aca="false">IF(A353="","",IF(N353=Settings!$B$17,"No","Yes"))</f>
        <v/>
      </c>
      <c r="P353" s="35" t="n">
        <f aca="false">IF(O353="Yes",ROUND(L353*M353,2),0)</f>
        <v>0</v>
      </c>
      <c r="Q353" s="35" t="n">
        <f aca="false">IF(O353="No",ROUND(L353*M353/2,2),0)</f>
        <v>0</v>
      </c>
      <c r="R353" s="35" t="n">
        <f aca="false">Q353</f>
        <v>0</v>
      </c>
      <c r="S353" s="35" t="n">
        <f aca="false">L353+P353+Q353+R353</f>
        <v>0</v>
      </c>
      <c r="T353" s="34" t="str">
        <f aca="false">IF(A353="","",IFERROR(INDEX(Customers!$B$5:$B$204,MATCH(C353,Customers!$A$5:$A$204,0))&amp;"",""))</f>
        <v/>
      </c>
      <c r="U353" s="38" t="str">
        <f aca="false">IF(A353="","",IF(T353&lt;&gt;"","B2B",IF(AND(O353="Yes",SUMIF($A$5:$A$1004,A353,$L$5:$L$1004)+SUMIF($A$5:$A$1004,A353,$P$5:$P$1004)&gt;100000),"B2CL","B2CS")))</f>
        <v/>
      </c>
      <c r="V353" s="17" t="str">
        <f aca="false">IF(A353="","",TEXT(B353,"mmm-yyyy"))</f>
        <v/>
      </c>
    </row>
    <row r="354" customFormat="false" ht="15" hidden="false" customHeight="true" outlineLevel="0" collapsed="false">
      <c r="A354" s="24"/>
      <c r="B354" s="39"/>
      <c r="C354" s="24"/>
      <c r="D354" s="24"/>
      <c r="E354" s="40"/>
      <c r="F354" s="29"/>
      <c r="G354" s="30"/>
      <c r="H354" s="17" t="str">
        <f aca="false">IF(A354="","",A354&amp;"|"&amp;COUNTIF(A$5:A354,A354))</f>
        <v/>
      </c>
      <c r="I354" s="33" t="str">
        <f aca="false">IF(A354="","",IFERROR(INDEX(Items!$B$5:$B$304,MATCH(D354,Items!$A$5:$A$304,0))&amp;"",""))</f>
        <v/>
      </c>
      <c r="J354" s="34" t="str">
        <f aca="false">IF(A354="","",IFERROR(INDEX(Items!$C$5:$C$304,MATCH(D354,Items!$A$5:$A$304,0))&amp;"",""))</f>
        <v/>
      </c>
      <c r="K354" s="35" t="n">
        <f aca="false">IF(A354="",0,IF(ISNUMBER(F354),F354,IFERROR(INDEX(Items!$D$5:$D$304,MATCH(D354,Items!$A$5:$A$304,0)),0)))</f>
        <v>0</v>
      </c>
      <c r="L354" s="35" t="n">
        <f aca="false">ROUND(N(E354)*K354*(1-N(G354)),2)</f>
        <v>0</v>
      </c>
      <c r="M354" s="36" t="n">
        <f aca="false">IF(A354="",0,IFERROR(INDEX(Items!$E$5:$E$304,MATCH(D354,Items!$A$5:$A$304,0)),0))</f>
        <v>0</v>
      </c>
      <c r="N354" s="37" t="str">
        <f aca="false">IF(A354="","",IFERROR(INDEX(Customers!$E$5:$E$204,MATCH(C354,Customers!$A$5:$A$204,0)),"?"))</f>
        <v/>
      </c>
      <c r="O354" s="38" t="str">
        <f aca="false">IF(A354="","",IF(N354=Settings!$B$17,"No","Yes"))</f>
        <v/>
      </c>
      <c r="P354" s="35" t="n">
        <f aca="false">IF(O354="Yes",ROUND(L354*M354,2),0)</f>
        <v>0</v>
      </c>
      <c r="Q354" s="35" t="n">
        <f aca="false">IF(O354="No",ROUND(L354*M354/2,2),0)</f>
        <v>0</v>
      </c>
      <c r="R354" s="35" t="n">
        <f aca="false">Q354</f>
        <v>0</v>
      </c>
      <c r="S354" s="35" t="n">
        <f aca="false">L354+P354+Q354+R354</f>
        <v>0</v>
      </c>
      <c r="T354" s="34" t="str">
        <f aca="false">IF(A354="","",IFERROR(INDEX(Customers!$B$5:$B$204,MATCH(C354,Customers!$A$5:$A$204,0))&amp;"",""))</f>
        <v/>
      </c>
      <c r="U354" s="38" t="str">
        <f aca="false">IF(A354="","",IF(T354&lt;&gt;"","B2B",IF(AND(O354="Yes",SUMIF($A$5:$A$1004,A354,$L$5:$L$1004)+SUMIF($A$5:$A$1004,A354,$P$5:$P$1004)&gt;100000),"B2CL","B2CS")))</f>
        <v/>
      </c>
      <c r="V354" s="17" t="str">
        <f aca="false">IF(A354="","",TEXT(B354,"mmm-yyyy"))</f>
        <v/>
      </c>
    </row>
    <row r="355" customFormat="false" ht="15" hidden="false" customHeight="true" outlineLevel="0" collapsed="false">
      <c r="A355" s="24"/>
      <c r="B355" s="39"/>
      <c r="C355" s="24"/>
      <c r="D355" s="24"/>
      <c r="E355" s="40"/>
      <c r="F355" s="29"/>
      <c r="G355" s="30"/>
      <c r="H355" s="17" t="str">
        <f aca="false">IF(A355="","",A355&amp;"|"&amp;COUNTIF(A$5:A355,A355))</f>
        <v/>
      </c>
      <c r="I355" s="33" t="str">
        <f aca="false">IF(A355="","",IFERROR(INDEX(Items!$B$5:$B$304,MATCH(D355,Items!$A$5:$A$304,0))&amp;"",""))</f>
        <v/>
      </c>
      <c r="J355" s="34" t="str">
        <f aca="false">IF(A355="","",IFERROR(INDEX(Items!$C$5:$C$304,MATCH(D355,Items!$A$5:$A$304,0))&amp;"",""))</f>
        <v/>
      </c>
      <c r="K355" s="35" t="n">
        <f aca="false">IF(A355="",0,IF(ISNUMBER(F355),F355,IFERROR(INDEX(Items!$D$5:$D$304,MATCH(D355,Items!$A$5:$A$304,0)),0)))</f>
        <v>0</v>
      </c>
      <c r="L355" s="35" t="n">
        <f aca="false">ROUND(N(E355)*K355*(1-N(G355)),2)</f>
        <v>0</v>
      </c>
      <c r="M355" s="36" t="n">
        <f aca="false">IF(A355="",0,IFERROR(INDEX(Items!$E$5:$E$304,MATCH(D355,Items!$A$5:$A$304,0)),0))</f>
        <v>0</v>
      </c>
      <c r="N355" s="37" t="str">
        <f aca="false">IF(A355="","",IFERROR(INDEX(Customers!$E$5:$E$204,MATCH(C355,Customers!$A$5:$A$204,0)),"?"))</f>
        <v/>
      </c>
      <c r="O355" s="38" t="str">
        <f aca="false">IF(A355="","",IF(N355=Settings!$B$17,"No","Yes"))</f>
        <v/>
      </c>
      <c r="P355" s="35" t="n">
        <f aca="false">IF(O355="Yes",ROUND(L355*M355,2),0)</f>
        <v>0</v>
      </c>
      <c r="Q355" s="35" t="n">
        <f aca="false">IF(O355="No",ROUND(L355*M355/2,2),0)</f>
        <v>0</v>
      </c>
      <c r="R355" s="35" t="n">
        <f aca="false">Q355</f>
        <v>0</v>
      </c>
      <c r="S355" s="35" t="n">
        <f aca="false">L355+P355+Q355+R355</f>
        <v>0</v>
      </c>
      <c r="T355" s="34" t="str">
        <f aca="false">IF(A355="","",IFERROR(INDEX(Customers!$B$5:$B$204,MATCH(C355,Customers!$A$5:$A$204,0))&amp;"",""))</f>
        <v/>
      </c>
      <c r="U355" s="38" t="str">
        <f aca="false">IF(A355="","",IF(T355&lt;&gt;"","B2B",IF(AND(O355="Yes",SUMIF($A$5:$A$1004,A355,$L$5:$L$1004)+SUMIF($A$5:$A$1004,A355,$P$5:$P$1004)&gt;100000),"B2CL","B2CS")))</f>
        <v/>
      </c>
      <c r="V355" s="17" t="str">
        <f aca="false">IF(A355="","",TEXT(B355,"mmm-yyyy"))</f>
        <v/>
      </c>
    </row>
    <row r="356" customFormat="false" ht="15" hidden="false" customHeight="true" outlineLevel="0" collapsed="false">
      <c r="A356" s="24"/>
      <c r="B356" s="39"/>
      <c r="C356" s="24"/>
      <c r="D356" s="24"/>
      <c r="E356" s="40"/>
      <c r="F356" s="29"/>
      <c r="G356" s="30"/>
      <c r="H356" s="17" t="str">
        <f aca="false">IF(A356="","",A356&amp;"|"&amp;COUNTIF(A$5:A356,A356))</f>
        <v/>
      </c>
      <c r="I356" s="33" t="str">
        <f aca="false">IF(A356="","",IFERROR(INDEX(Items!$B$5:$B$304,MATCH(D356,Items!$A$5:$A$304,0))&amp;"",""))</f>
        <v/>
      </c>
      <c r="J356" s="34" t="str">
        <f aca="false">IF(A356="","",IFERROR(INDEX(Items!$C$5:$C$304,MATCH(D356,Items!$A$5:$A$304,0))&amp;"",""))</f>
        <v/>
      </c>
      <c r="K356" s="35" t="n">
        <f aca="false">IF(A356="",0,IF(ISNUMBER(F356),F356,IFERROR(INDEX(Items!$D$5:$D$304,MATCH(D356,Items!$A$5:$A$304,0)),0)))</f>
        <v>0</v>
      </c>
      <c r="L356" s="35" t="n">
        <f aca="false">ROUND(N(E356)*K356*(1-N(G356)),2)</f>
        <v>0</v>
      </c>
      <c r="M356" s="36" t="n">
        <f aca="false">IF(A356="",0,IFERROR(INDEX(Items!$E$5:$E$304,MATCH(D356,Items!$A$5:$A$304,0)),0))</f>
        <v>0</v>
      </c>
      <c r="N356" s="37" t="str">
        <f aca="false">IF(A356="","",IFERROR(INDEX(Customers!$E$5:$E$204,MATCH(C356,Customers!$A$5:$A$204,0)),"?"))</f>
        <v/>
      </c>
      <c r="O356" s="38" t="str">
        <f aca="false">IF(A356="","",IF(N356=Settings!$B$17,"No","Yes"))</f>
        <v/>
      </c>
      <c r="P356" s="35" t="n">
        <f aca="false">IF(O356="Yes",ROUND(L356*M356,2),0)</f>
        <v>0</v>
      </c>
      <c r="Q356" s="35" t="n">
        <f aca="false">IF(O356="No",ROUND(L356*M356/2,2),0)</f>
        <v>0</v>
      </c>
      <c r="R356" s="35" t="n">
        <f aca="false">Q356</f>
        <v>0</v>
      </c>
      <c r="S356" s="35" t="n">
        <f aca="false">L356+P356+Q356+R356</f>
        <v>0</v>
      </c>
      <c r="T356" s="34" t="str">
        <f aca="false">IF(A356="","",IFERROR(INDEX(Customers!$B$5:$B$204,MATCH(C356,Customers!$A$5:$A$204,0))&amp;"",""))</f>
        <v/>
      </c>
      <c r="U356" s="38" t="str">
        <f aca="false">IF(A356="","",IF(T356&lt;&gt;"","B2B",IF(AND(O356="Yes",SUMIF($A$5:$A$1004,A356,$L$5:$L$1004)+SUMIF($A$5:$A$1004,A356,$P$5:$P$1004)&gt;100000),"B2CL","B2CS")))</f>
        <v/>
      </c>
      <c r="V356" s="17" t="str">
        <f aca="false">IF(A356="","",TEXT(B356,"mmm-yyyy"))</f>
        <v/>
      </c>
    </row>
    <row r="357" customFormat="false" ht="15" hidden="false" customHeight="true" outlineLevel="0" collapsed="false">
      <c r="A357" s="24"/>
      <c r="B357" s="39"/>
      <c r="C357" s="24"/>
      <c r="D357" s="24"/>
      <c r="E357" s="40"/>
      <c r="F357" s="29"/>
      <c r="G357" s="30"/>
      <c r="H357" s="17" t="str">
        <f aca="false">IF(A357="","",A357&amp;"|"&amp;COUNTIF(A$5:A357,A357))</f>
        <v/>
      </c>
      <c r="I357" s="33" t="str">
        <f aca="false">IF(A357="","",IFERROR(INDEX(Items!$B$5:$B$304,MATCH(D357,Items!$A$5:$A$304,0))&amp;"",""))</f>
        <v/>
      </c>
      <c r="J357" s="34" t="str">
        <f aca="false">IF(A357="","",IFERROR(INDEX(Items!$C$5:$C$304,MATCH(D357,Items!$A$5:$A$304,0))&amp;"",""))</f>
        <v/>
      </c>
      <c r="K357" s="35" t="n">
        <f aca="false">IF(A357="",0,IF(ISNUMBER(F357),F357,IFERROR(INDEX(Items!$D$5:$D$304,MATCH(D357,Items!$A$5:$A$304,0)),0)))</f>
        <v>0</v>
      </c>
      <c r="L357" s="35" t="n">
        <f aca="false">ROUND(N(E357)*K357*(1-N(G357)),2)</f>
        <v>0</v>
      </c>
      <c r="M357" s="36" t="n">
        <f aca="false">IF(A357="",0,IFERROR(INDEX(Items!$E$5:$E$304,MATCH(D357,Items!$A$5:$A$304,0)),0))</f>
        <v>0</v>
      </c>
      <c r="N357" s="37" t="str">
        <f aca="false">IF(A357="","",IFERROR(INDEX(Customers!$E$5:$E$204,MATCH(C357,Customers!$A$5:$A$204,0)),"?"))</f>
        <v/>
      </c>
      <c r="O357" s="38" t="str">
        <f aca="false">IF(A357="","",IF(N357=Settings!$B$17,"No","Yes"))</f>
        <v/>
      </c>
      <c r="P357" s="35" t="n">
        <f aca="false">IF(O357="Yes",ROUND(L357*M357,2),0)</f>
        <v>0</v>
      </c>
      <c r="Q357" s="35" t="n">
        <f aca="false">IF(O357="No",ROUND(L357*M357/2,2),0)</f>
        <v>0</v>
      </c>
      <c r="R357" s="35" t="n">
        <f aca="false">Q357</f>
        <v>0</v>
      </c>
      <c r="S357" s="35" t="n">
        <f aca="false">L357+P357+Q357+R357</f>
        <v>0</v>
      </c>
      <c r="T357" s="34" t="str">
        <f aca="false">IF(A357="","",IFERROR(INDEX(Customers!$B$5:$B$204,MATCH(C357,Customers!$A$5:$A$204,0))&amp;"",""))</f>
        <v/>
      </c>
      <c r="U357" s="38" t="str">
        <f aca="false">IF(A357="","",IF(T357&lt;&gt;"","B2B",IF(AND(O357="Yes",SUMIF($A$5:$A$1004,A357,$L$5:$L$1004)+SUMIF($A$5:$A$1004,A357,$P$5:$P$1004)&gt;100000),"B2CL","B2CS")))</f>
        <v/>
      </c>
      <c r="V357" s="17" t="str">
        <f aca="false">IF(A357="","",TEXT(B357,"mmm-yyyy"))</f>
        <v/>
      </c>
    </row>
    <row r="358" customFormat="false" ht="15" hidden="false" customHeight="true" outlineLevel="0" collapsed="false">
      <c r="A358" s="24"/>
      <c r="B358" s="39"/>
      <c r="C358" s="24"/>
      <c r="D358" s="24"/>
      <c r="E358" s="40"/>
      <c r="F358" s="29"/>
      <c r="G358" s="30"/>
      <c r="H358" s="17" t="str">
        <f aca="false">IF(A358="","",A358&amp;"|"&amp;COUNTIF(A$5:A358,A358))</f>
        <v/>
      </c>
      <c r="I358" s="33" t="str">
        <f aca="false">IF(A358="","",IFERROR(INDEX(Items!$B$5:$B$304,MATCH(D358,Items!$A$5:$A$304,0))&amp;"",""))</f>
        <v/>
      </c>
      <c r="J358" s="34" t="str">
        <f aca="false">IF(A358="","",IFERROR(INDEX(Items!$C$5:$C$304,MATCH(D358,Items!$A$5:$A$304,0))&amp;"",""))</f>
        <v/>
      </c>
      <c r="K358" s="35" t="n">
        <f aca="false">IF(A358="",0,IF(ISNUMBER(F358),F358,IFERROR(INDEX(Items!$D$5:$D$304,MATCH(D358,Items!$A$5:$A$304,0)),0)))</f>
        <v>0</v>
      </c>
      <c r="L358" s="35" t="n">
        <f aca="false">ROUND(N(E358)*K358*(1-N(G358)),2)</f>
        <v>0</v>
      </c>
      <c r="M358" s="36" t="n">
        <f aca="false">IF(A358="",0,IFERROR(INDEX(Items!$E$5:$E$304,MATCH(D358,Items!$A$5:$A$304,0)),0))</f>
        <v>0</v>
      </c>
      <c r="N358" s="37" t="str">
        <f aca="false">IF(A358="","",IFERROR(INDEX(Customers!$E$5:$E$204,MATCH(C358,Customers!$A$5:$A$204,0)),"?"))</f>
        <v/>
      </c>
      <c r="O358" s="38" t="str">
        <f aca="false">IF(A358="","",IF(N358=Settings!$B$17,"No","Yes"))</f>
        <v/>
      </c>
      <c r="P358" s="35" t="n">
        <f aca="false">IF(O358="Yes",ROUND(L358*M358,2),0)</f>
        <v>0</v>
      </c>
      <c r="Q358" s="35" t="n">
        <f aca="false">IF(O358="No",ROUND(L358*M358/2,2),0)</f>
        <v>0</v>
      </c>
      <c r="R358" s="35" t="n">
        <f aca="false">Q358</f>
        <v>0</v>
      </c>
      <c r="S358" s="35" t="n">
        <f aca="false">L358+P358+Q358+R358</f>
        <v>0</v>
      </c>
      <c r="T358" s="34" t="str">
        <f aca="false">IF(A358="","",IFERROR(INDEX(Customers!$B$5:$B$204,MATCH(C358,Customers!$A$5:$A$204,0))&amp;"",""))</f>
        <v/>
      </c>
      <c r="U358" s="38" t="str">
        <f aca="false">IF(A358="","",IF(T358&lt;&gt;"","B2B",IF(AND(O358="Yes",SUMIF($A$5:$A$1004,A358,$L$5:$L$1004)+SUMIF($A$5:$A$1004,A358,$P$5:$P$1004)&gt;100000),"B2CL","B2CS")))</f>
        <v/>
      </c>
      <c r="V358" s="17" t="str">
        <f aca="false">IF(A358="","",TEXT(B358,"mmm-yyyy"))</f>
        <v/>
      </c>
    </row>
    <row r="359" customFormat="false" ht="15" hidden="false" customHeight="true" outlineLevel="0" collapsed="false">
      <c r="A359" s="24"/>
      <c r="B359" s="39"/>
      <c r="C359" s="24"/>
      <c r="D359" s="24"/>
      <c r="E359" s="40"/>
      <c r="F359" s="29"/>
      <c r="G359" s="30"/>
      <c r="H359" s="17" t="str">
        <f aca="false">IF(A359="","",A359&amp;"|"&amp;COUNTIF(A$5:A359,A359))</f>
        <v/>
      </c>
      <c r="I359" s="33" t="str">
        <f aca="false">IF(A359="","",IFERROR(INDEX(Items!$B$5:$B$304,MATCH(D359,Items!$A$5:$A$304,0))&amp;"",""))</f>
        <v/>
      </c>
      <c r="J359" s="34" t="str">
        <f aca="false">IF(A359="","",IFERROR(INDEX(Items!$C$5:$C$304,MATCH(D359,Items!$A$5:$A$304,0))&amp;"",""))</f>
        <v/>
      </c>
      <c r="K359" s="35" t="n">
        <f aca="false">IF(A359="",0,IF(ISNUMBER(F359),F359,IFERROR(INDEX(Items!$D$5:$D$304,MATCH(D359,Items!$A$5:$A$304,0)),0)))</f>
        <v>0</v>
      </c>
      <c r="L359" s="35" t="n">
        <f aca="false">ROUND(N(E359)*K359*(1-N(G359)),2)</f>
        <v>0</v>
      </c>
      <c r="M359" s="36" t="n">
        <f aca="false">IF(A359="",0,IFERROR(INDEX(Items!$E$5:$E$304,MATCH(D359,Items!$A$5:$A$304,0)),0))</f>
        <v>0</v>
      </c>
      <c r="N359" s="37" t="str">
        <f aca="false">IF(A359="","",IFERROR(INDEX(Customers!$E$5:$E$204,MATCH(C359,Customers!$A$5:$A$204,0)),"?"))</f>
        <v/>
      </c>
      <c r="O359" s="38" t="str">
        <f aca="false">IF(A359="","",IF(N359=Settings!$B$17,"No","Yes"))</f>
        <v/>
      </c>
      <c r="P359" s="35" t="n">
        <f aca="false">IF(O359="Yes",ROUND(L359*M359,2),0)</f>
        <v>0</v>
      </c>
      <c r="Q359" s="35" t="n">
        <f aca="false">IF(O359="No",ROUND(L359*M359/2,2),0)</f>
        <v>0</v>
      </c>
      <c r="R359" s="35" t="n">
        <f aca="false">Q359</f>
        <v>0</v>
      </c>
      <c r="S359" s="35" t="n">
        <f aca="false">L359+P359+Q359+R359</f>
        <v>0</v>
      </c>
      <c r="T359" s="34" t="str">
        <f aca="false">IF(A359="","",IFERROR(INDEX(Customers!$B$5:$B$204,MATCH(C359,Customers!$A$5:$A$204,0))&amp;"",""))</f>
        <v/>
      </c>
      <c r="U359" s="38" t="str">
        <f aca="false">IF(A359="","",IF(T359&lt;&gt;"","B2B",IF(AND(O359="Yes",SUMIF($A$5:$A$1004,A359,$L$5:$L$1004)+SUMIF($A$5:$A$1004,A359,$P$5:$P$1004)&gt;100000),"B2CL","B2CS")))</f>
        <v/>
      </c>
      <c r="V359" s="17" t="str">
        <f aca="false">IF(A359="","",TEXT(B359,"mmm-yyyy"))</f>
        <v/>
      </c>
    </row>
    <row r="360" customFormat="false" ht="15" hidden="false" customHeight="true" outlineLevel="0" collapsed="false">
      <c r="A360" s="24"/>
      <c r="B360" s="39"/>
      <c r="C360" s="24"/>
      <c r="D360" s="24"/>
      <c r="E360" s="40"/>
      <c r="F360" s="29"/>
      <c r="G360" s="30"/>
      <c r="H360" s="17" t="str">
        <f aca="false">IF(A360="","",A360&amp;"|"&amp;COUNTIF(A$5:A360,A360))</f>
        <v/>
      </c>
      <c r="I360" s="33" t="str">
        <f aca="false">IF(A360="","",IFERROR(INDEX(Items!$B$5:$B$304,MATCH(D360,Items!$A$5:$A$304,0))&amp;"",""))</f>
        <v/>
      </c>
      <c r="J360" s="34" t="str">
        <f aca="false">IF(A360="","",IFERROR(INDEX(Items!$C$5:$C$304,MATCH(D360,Items!$A$5:$A$304,0))&amp;"",""))</f>
        <v/>
      </c>
      <c r="K360" s="35" t="n">
        <f aca="false">IF(A360="",0,IF(ISNUMBER(F360),F360,IFERROR(INDEX(Items!$D$5:$D$304,MATCH(D360,Items!$A$5:$A$304,0)),0)))</f>
        <v>0</v>
      </c>
      <c r="L360" s="35" t="n">
        <f aca="false">ROUND(N(E360)*K360*(1-N(G360)),2)</f>
        <v>0</v>
      </c>
      <c r="M360" s="36" t="n">
        <f aca="false">IF(A360="",0,IFERROR(INDEX(Items!$E$5:$E$304,MATCH(D360,Items!$A$5:$A$304,0)),0))</f>
        <v>0</v>
      </c>
      <c r="N360" s="37" t="str">
        <f aca="false">IF(A360="","",IFERROR(INDEX(Customers!$E$5:$E$204,MATCH(C360,Customers!$A$5:$A$204,0)),"?"))</f>
        <v/>
      </c>
      <c r="O360" s="38" t="str">
        <f aca="false">IF(A360="","",IF(N360=Settings!$B$17,"No","Yes"))</f>
        <v/>
      </c>
      <c r="P360" s="35" t="n">
        <f aca="false">IF(O360="Yes",ROUND(L360*M360,2),0)</f>
        <v>0</v>
      </c>
      <c r="Q360" s="35" t="n">
        <f aca="false">IF(O360="No",ROUND(L360*M360/2,2),0)</f>
        <v>0</v>
      </c>
      <c r="R360" s="35" t="n">
        <f aca="false">Q360</f>
        <v>0</v>
      </c>
      <c r="S360" s="35" t="n">
        <f aca="false">L360+P360+Q360+R360</f>
        <v>0</v>
      </c>
      <c r="T360" s="34" t="str">
        <f aca="false">IF(A360="","",IFERROR(INDEX(Customers!$B$5:$B$204,MATCH(C360,Customers!$A$5:$A$204,0))&amp;"",""))</f>
        <v/>
      </c>
      <c r="U360" s="38" t="str">
        <f aca="false">IF(A360="","",IF(T360&lt;&gt;"","B2B",IF(AND(O360="Yes",SUMIF($A$5:$A$1004,A360,$L$5:$L$1004)+SUMIF($A$5:$A$1004,A360,$P$5:$P$1004)&gt;100000),"B2CL","B2CS")))</f>
        <v/>
      </c>
      <c r="V360" s="17" t="str">
        <f aca="false">IF(A360="","",TEXT(B360,"mmm-yyyy"))</f>
        <v/>
      </c>
    </row>
    <row r="361" customFormat="false" ht="15" hidden="false" customHeight="true" outlineLevel="0" collapsed="false">
      <c r="A361" s="24"/>
      <c r="B361" s="39"/>
      <c r="C361" s="24"/>
      <c r="D361" s="24"/>
      <c r="E361" s="40"/>
      <c r="F361" s="29"/>
      <c r="G361" s="30"/>
      <c r="H361" s="17" t="str">
        <f aca="false">IF(A361="","",A361&amp;"|"&amp;COUNTIF(A$5:A361,A361))</f>
        <v/>
      </c>
      <c r="I361" s="33" t="str">
        <f aca="false">IF(A361="","",IFERROR(INDEX(Items!$B$5:$B$304,MATCH(D361,Items!$A$5:$A$304,0))&amp;"",""))</f>
        <v/>
      </c>
      <c r="J361" s="34" t="str">
        <f aca="false">IF(A361="","",IFERROR(INDEX(Items!$C$5:$C$304,MATCH(D361,Items!$A$5:$A$304,0))&amp;"",""))</f>
        <v/>
      </c>
      <c r="K361" s="35" t="n">
        <f aca="false">IF(A361="",0,IF(ISNUMBER(F361),F361,IFERROR(INDEX(Items!$D$5:$D$304,MATCH(D361,Items!$A$5:$A$304,0)),0)))</f>
        <v>0</v>
      </c>
      <c r="L361" s="35" t="n">
        <f aca="false">ROUND(N(E361)*K361*(1-N(G361)),2)</f>
        <v>0</v>
      </c>
      <c r="M361" s="36" t="n">
        <f aca="false">IF(A361="",0,IFERROR(INDEX(Items!$E$5:$E$304,MATCH(D361,Items!$A$5:$A$304,0)),0))</f>
        <v>0</v>
      </c>
      <c r="N361" s="37" t="str">
        <f aca="false">IF(A361="","",IFERROR(INDEX(Customers!$E$5:$E$204,MATCH(C361,Customers!$A$5:$A$204,0)),"?"))</f>
        <v/>
      </c>
      <c r="O361" s="38" t="str">
        <f aca="false">IF(A361="","",IF(N361=Settings!$B$17,"No","Yes"))</f>
        <v/>
      </c>
      <c r="P361" s="35" t="n">
        <f aca="false">IF(O361="Yes",ROUND(L361*M361,2),0)</f>
        <v>0</v>
      </c>
      <c r="Q361" s="35" t="n">
        <f aca="false">IF(O361="No",ROUND(L361*M361/2,2),0)</f>
        <v>0</v>
      </c>
      <c r="R361" s="35" t="n">
        <f aca="false">Q361</f>
        <v>0</v>
      </c>
      <c r="S361" s="35" t="n">
        <f aca="false">L361+P361+Q361+R361</f>
        <v>0</v>
      </c>
      <c r="T361" s="34" t="str">
        <f aca="false">IF(A361="","",IFERROR(INDEX(Customers!$B$5:$B$204,MATCH(C361,Customers!$A$5:$A$204,0))&amp;"",""))</f>
        <v/>
      </c>
      <c r="U361" s="38" t="str">
        <f aca="false">IF(A361="","",IF(T361&lt;&gt;"","B2B",IF(AND(O361="Yes",SUMIF($A$5:$A$1004,A361,$L$5:$L$1004)+SUMIF($A$5:$A$1004,A361,$P$5:$P$1004)&gt;100000),"B2CL","B2CS")))</f>
        <v/>
      </c>
      <c r="V361" s="17" t="str">
        <f aca="false">IF(A361="","",TEXT(B361,"mmm-yyyy"))</f>
        <v/>
      </c>
    </row>
    <row r="362" customFormat="false" ht="15" hidden="false" customHeight="true" outlineLevel="0" collapsed="false">
      <c r="A362" s="24"/>
      <c r="B362" s="39"/>
      <c r="C362" s="24"/>
      <c r="D362" s="24"/>
      <c r="E362" s="40"/>
      <c r="F362" s="29"/>
      <c r="G362" s="30"/>
      <c r="H362" s="17" t="str">
        <f aca="false">IF(A362="","",A362&amp;"|"&amp;COUNTIF(A$5:A362,A362))</f>
        <v/>
      </c>
      <c r="I362" s="33" t="str">
        <f aca="false">IF(A362="","",IFERROR(INDEX(Items!$B$5:$B$304,MATCH(D362,Items!$A$5:$A$304,0))&amp;"",""))</f>
        <v/>
      </c>
      <c r="J362" s="34" t="str">
        <f aca="false">IF(A362="","",IFERROR(INDEX(Items!$C$5:$C$304,MATCH(D362,Items!$A$5:$A$304,0))&amp;"",""))</f>
        <v/>
      </c>
      <c r="K362" s="35" t="n">
        <f aca="false">IF(A362="",0,IF(ISNUMBER(F362),F362,IFERROR(INDEX(Items!$D$5:$D$304,MATCH(D362,Items!$A$5:$A$304,0)),0)))</f>
        <v>0</v>
      </c>
      <c r="L362" s="35" t="n">
        <f aca="false">ROUND(N(E362)*K362*(1-N(G362)),2)</f>
        <v>0</v>
      </c>
      <c r="M362" s="36" t="n">
        <f aca="false">IF(A362="",0,IFERROR(INDEX(Items!$E$5:$E$304,MATCH(D362,Items!$A$5:$A$304,0)),0))</f>
        <v>0</v>
      </c>
      <c r="N362" s="37" t="str">
        <f aca="false">IF(A362="","",IFERROR(INDEX(Customers!$E$5:$E$204,MATCH(C362,Customers!$A$5:$A$204,0)),"?"))</f>
        <v/>
      </c>
      <c r="O362" s="38" t="str">
        <f aca="false">IF(A362="","",IF(N362=Settings!$B$17,"No","Yes"))</f>
        <v/>
      </c>
      <c r="P362" s="35" t="n">
        <f aca="false">IF(O362="Yes",ROUND(L362*M362,2),0)</f>
        <v>0</v>
      </c>
      <c r="Q362" s="35" t="n">
        <f aca="false">IF(O362="No",ROUND(L362*M362/2,2),0)</f>
        <v>0</v>
      </c>
      <c r="R362" s="35" t="n">
        <f aca="false">Q362</f>
        <v>0</v>
      </c>
      <c r="S362" s="35" t="n">
        <f aca="false">L362+P362+Q362+R362</f>
        <v>0</v>
      </c>
      <c r="T362" s="34" t="str">
        <f aca="false">IF(A362="","",IFERROR(INDEX(Customers!$B$5:$B$204,MATCH(C362,Customers!$A$5:$A$204,0))&amp;"",""))</f>
        <v/>
      </c>
      <c r="U362" s="38" t="str">
        <f aca="false">IF(A362="","",IF(T362&lt;&gt;"","B2B",IF(AND(O362="Yes",SUMIF($A$5:$A$1004,A362,$L$5:$L$1004)+SUMIF($A$5:$A$1004,A362,$P$5:$P$1004)&gt;100000),"B2CL","B2CS")))</f>
        <v/>
      </c>
      <c r="V362" s="17" t="str">
        <f aca="false">IF(A362="","",TEXT(B362,"mmm-yyyy"))</f>
        <v/>
      </c>
    </row>
    <row r="363" customFormat="false" ht="15" hidden="false" customHeight="true" outlineLevel="0" collapsed="false">
      <c r="A363" s="24"/>
      <c r="B363" s="39"/>
      <c r="C363" s="24"/>
      <c r="D363" s="24"/>
      <c r="E363" s="40"/>
      <c r="F363" s="29"/>
      <c r="G363" s="30"/>
      <c r="H363" s="17" t="str">
        <f aca="false">IF(A363="","",A363&amp;"|"&amp;COUNTIF(A$5:A363,A363))</f>
        <v/>
      </c>
      <c r="I363" s="33" t="str">
        <f aca="false">IF(A363="","",IFERROR(INDEX(Items!$B$5:$B$304,MATCH(D363,Items!$A$5:$A$304,0))&amp;"",""))</f>
        <v/>
      </c>
      <c r="J363" s="34" t="str">
        <f aca="false">IF(A363="","",IFERROR(INDEX(Items!$C$5:$C$304,MATCH(D363,Items!$A$5:$A$304,0))&amp;"",""))</f>
        <v/>
      </c>
      <c r="K363" s="35" t="n">
        <f aca="false">IF(A363="",0,IF(ISNUMBER(F363),F363,IFERROR(INDEX(Items!$D$5:$D$304,MATCH(D363,Items!$A$5:$A$304,0)),0)))</f>
        <v>0</v>
      </c>
      <c r="L363" s="35" t="n">
        <f aca="false">ROUND(N(E363)*K363*(1-N(G363)),2)</f>
        <v>0</v>
      </c>
      <c r="M363" s="36" t="n">
        <f aca="false">IF(A363="",0,IFERROR(INDEX(Items!$E$5:$E$304,MATCH(D363,Items!$A$5:$A$304,0)),0))</f>
        <v>0</v>
      </c>
      <c r="N363" s="37" t="str">
        <f aca="false">IF(A363="","",IFERROR(INDEX(Customers!$E$5:$E$204,MATCH(C363,Customers!$A$5:$A$204,0)),"?"))</f>
        <v/>
      </c>
      <c r="O363" s="38" t="str">
        <f aca="false">IF(A363="","",IF(N363=Settings!$B$17,"No","Yes"))</f>
        <v/>
      </c>
      <c r="P363" s="35" t="n">
        <f aca="false">IF(O363="Yes",ROUND(L363*M363,2),0)</f>
        <v>0</v>
      </c>
      <c r="Q363" s="35" t="n">
        <f aca="false">IF(O363="No",ROUND(L363*M363/2,2),0)</f>
        <v>0</v>
      </c>
      <c r="R363" s="35" t="n">
        <f aca="false">Q363</f>
        <v>0</v>
      </c>
      <c r="S363" s="35" t="n">
        <f aca="false">L363+P363+Q363+R363</f>
        <v>0</v>
      </c>
      <c r="T363" s="34" t="str">
        <f aca="false">IF(A363="","",IFERROR(INDEX(Customers!$B$5:$B$204,MATCH(C363,Customers!$A$5:$A$204,0))&amp;"",""))</f>
        <v/>
      </c>
      <c r="U363" s="38" t="str">
        <f aca="false">IF(A363="","",IF(T363&lt;&gt;"","B2B",IF(AND(O363="Yes",SUMIF($A$5:$A$1004,A363,$L$5:$L$1004)+SUMIF($A$5:$A$1004,A363,$P$5:$P$1004)&gt;100000),"B2CL","B2CS")))</f>
        <v/>
      </c>
      <c r="V363" s="17" t="str">
        <f aca="false">IF(A363="","",TEXT(B363,"mmm-yyyy"))</f>
        <v/>
      </c>
    </row>
    <row r="364" customFormat="false" ht="15" hidden="false" customHeight="true" outlineLevel="0" collapsed="false">
      <c r="A364" s="24"/>
      <c r="B364" s="39"/>
      <c r="C364" s="24"/>
      <c r="D364" s="24"/>
      <c r="E364" s="40"/>
      <c r="F364" s="29"/>
      <c r="G364" s="30"/>
      <c r="H364" s="17" t="str">
        <f aca="false">IF(A364="","",A364&amp;"|"&amp;COUNTIF(A$5:A364,A364))</f>
        <v/>
      </c>
      <c r="I364" s="33" t="str">
        <f aca="false">IF(A364="","",IFERROR(INDEX(Items!$B$5:$B$304,MATCH(D364,Items!$A$5:$A$304,0))&amp;"",""))</f>
        <v/>
      </c>
      <c r="J364" s="34" t="str">
        <f aca="false">IF(A364="","",IFERROR(INDEX(Items!$C$5:$C$304,MATCH(D364,Items!$A$5:$A$304,0))&amp;"",""))</f>
        <v/>
      </c>
      <c r="K364" s="35" t="n">
        <f aca="false">IF(A364="",0,IF(ISNUMBER(F364),F364,IFERROR(INDEX(Items!$D$5:$D$304,MATCH(D364,Items!$A$5:$A$304,0)),0)))</f>
        <v>0</v>
      </c>
      <c r="L364" s="35" t="n">
        <f aca="false">ROUND(N(E364)*K364*(1-N(G364)),2)</f>
        <v>0</v>
      </c>
      <c r="M364" s="36" t="n">
        <f aca="false">IF(A364="",0,IFERROR(INDEX(Items!$E$5:$E$304,MATCH(D364,Items!$A$5:$A$304,0)),0))</f>
        <v>0</v>
      </c>
      <c r="N364" s="37" t="str">
        <f aca="false">IF(A364="","",IFERROR(INDEX(Customers!$E$5:$E$204,MATCH(C364,Customers!$A$5:$A$204,0)),"?"))</f>
        <v/>
      </c>
      <c r="O364" s="38" t="str">
        <f aca="false">IF(A364="","",IF(N364=Settings!$B$17,"No","Yes"))</f>
        <v/>
      </c>
      <c r="P364" s="35" t="n">
        <f aca="false">IF(O364="Yes",ROUND(L364*M364,2),0)</f>
        <v>0</v>
      </c>
      <c r="Q364" s="35" t="n">
        <f aca="false">IF(O364="No",ROUND(L364*M364/2,2),0)</f>
        <v>0</v>
      </c>
      <c r="R364" s="35" t="n">
        <f aca="false">Q364</f>
        <v>0</v>
      </c>
      <c r="S364" s="35" t="n">
        <f aca="false">L364+P364+Q364+R364</f>
        <v>0</v>
      </c>
      <c r="T364" s="34" t="str">
        <f aca="false">IF(A364="","",IFERROR(INDEX(Customers!$B$5:$B$204,MATCH(C364,Customers!$A$5:$A$204,0))&amp;"",""))</f>
        <v/>
      </c>
      <c r="U364" s="38" t="str">
        <f aca="false">IF(A364="","",IF(T364&lt;&gt;"","B2B",IF(AND(O364="Yes",SUMIF($A$5:$A$1004,A364,$L$5:$L$1004)+SUMIF($A$5:$A$1004,A364,$P$5:$P$1004)&gt;100000),"B2CL","B2CS")))</f>
        <v/>
      </c>
      <c r="V364" s="17" t="str">
        <f aca="false">IF(A364="","",TEXT(B364,"mmm-yyyy"))</f>
        <v/>
      </c>
    </row>
    <row r="365" customFormat="false" ht="15" hidden="false" customHeight="true" outlineLevel="0" collapsed="false">
      <c r="A365" s="24"/>
      <c r="B365" s="39"/>
      <c r="C365" s="24"/>
      <c r="D365" s="24"/>
      <c r="E365" s="40"/>
      <c r="F365" s="29"/>
      <c r="G365" s="30"/>
      <c r="H365" s="17" t="str">
        <f aca="false">IF(A365="","",A365&amp;"|"&amp;COUNTIF(A$5:A365,A365))</f>
        <v/>
      </c>
      <c r="I365" s="33" t="str">
        <f aca="false">IF(A365="","",IFERROR(INDEX(Items!$B$5:$B$304,MATCH(D365,Items!$A$5:$A$304,0))&amp;"",""))</f>
        <v/>
      </c>
      <c r="J365" s="34" t="str">
        <f aca="false">IF(A365="","",IFERROR(INDEX(Items!$C$5:$C$304,MATCH(D365,Items!$A$5:$A$304,0))&amp;"",""))</f>
        <v/>
      </c>
      <c r="K365" s="35" t="n">
        <f aca="false">IF(A365="",0,IF(ISNUMBER(F365),F365,IFERROR(INDEX(Items!$D$5:$D$304,MATCH(D365,Items!$A$5:$A$304,0)),0)))</f>
        <v>0</v>
      </c>
      <c r="L365" s="35" t="n">
        <f aca="false">ROUND(N(E365)*K365*(1-N(G365)),2)</f>
        <v>0</v>
      </c>
      <c r="M365" s="36" t="n">
        <f aca="false">IF(A365="",0,IFERROR(INDEX(Items!$E$5:$E$304,MATCH(D365,Items!$A$5:$A$304,0)),0))</f>
        <v>0</v>
      </c>
      <c r="N365" s="37" t="str">
        <f aca="false">IF(A365="","",IFERROR(INDEX(Customers!$E$5:$E$204,MATCH(C365,Customers!$A$5:$A$204,0)),"?"))</f>
        <v/>
      </c>
      <c r="O365" s="38" t="str">
        <f aca="false">IF(A365="","",IF(N365=Settings!$B$17,"No","Yes"))</f>
        <v/>
      </c>
      <c r="P365" s="35" t="n">
        <f aca="false">IF(O365="Yes",ROUND(L365*M365,2),0)</f>
        <v>0</v>
      </c>
      <c r="Q365" s="35" t="n">
        <f aca="false">IF(O365="No",ROUND(L365*M365/2,2),0)</f>
        <v>0</v>
      </c>
      <c r="R365" s="35" t="n">
        <f aca="false">Q365</f>
        <v>0</v>
      </c>
      <c r="S365" s="35" t="n">
        <f aca="false">L365+P365+Q365+R365</f>
        <v>0</v>
      </c>
      <c r="T365" s="34" t="str">
        <f aca="false">IF(A365="","",IFERROR(INDEX(Customers!$B$5:$B$204,MATCH(C365,Customers!$A$5:$A$204,0))&amp;"",""))</f>
        <v/>
      </c>
      <c r="U365" s="38" t="str">
        <f aca="false">IF(A365="","",IF(T365&lt;&gt;"","B2B",IF(AND(O365="Yes",SUMIF($A$5:$A$1004,A365,$L$5:$L$1004)+SUMIF($A$5:$A$1004,A365,$P$5:$P$1004)&gt;100000),"B2CL","B2CS")))</f>
        <v/>
      </c>
      <c r="V365" s="17" t="str">
        <f aca="false">IF(A365="","",TEXT(B365,"mmm-yyyy"))</f>
        <v/>
      </c>
    </row>
    <row r="366" customFormat="false" ht="15" hidden="false" customHeight="true" outlineLevel="0" collapsed="false">
      <c r="A366" s="24"/>
      <c r="B366" s="39"/>
      <c r="C366" s="24"/>
      <c r="D366" s="24"/>
      <c r="E366" s="40"/>
      <c r="F366" s="29"/>
      <c r="G366" s="30"/>
      <c r="H366" s="17" t="str">
        <f aca="false">IF(A366="","",A366&amp;"|"&amp;COUNTIF(A$5:A366,A366))</f>
        <v/>
      </c>
      <c r="I366" s="33" t="str">
        <f aca="false">IF(A366="","",IFERROR(INDEX(Items!$B$5:$B$304,MATCH(D366,Items!$A$5:$A$304,0))&amp;"",""))</f>
        <v/>
      </c>
      <c r="J366" s="34" t="str">
        <f aca="false">IF(A366="","",IFERROR(INDEX(Items!$C$5:$C$304,MATCH(D366,Items!$A$5:$A$304,0))&amp;"",""))</f>
        <v/>
      </c>
      <c r="K366" s="35" t="n">
        <f aca="false">IF(A366="",0,IF(ISNUMBER(F366),F366,IFERROR(INDEX(Items!$D$5:$D$304,MATCH(D366,Items!$A$5:$A$304,0)),0)))</f>
        <v>0</v>
      </c>
      <c r="L366" s="35" t="n">
        <f aca="false">ROUND(N(E366)*K366*(1-N(G366)),2)</f>
        <v>0</v>
      </c>
      <c r="M366" s="36" t="n">
        <f aca="false">IF(A366="",0,IFERROR(INDEX(Items!$E$5:$E$304,MATCH(D366,Items!$A$5:$A$304,0)),0))</f>
        <v>0</v>
      </c>
      <c r="N366" s="37" t="str">
        <f aca="false">IF(A366="","",IFERROR(INDEX(Customers!$E$5:$E$204,MATCH(C366,Customers!$A$5:$A$204,0)),"?"))</f>
        <v/>
      </c>
      <c r="O366" s="38" t="str">
        <f aca="false">IF(A366="","",IF(N366=Settings!$B$17,"No","Yes"))</f>
        <v/>
      </c>
      <c r="P366" s="35" t="n">
        <f aca="false">IF(O366="Yes",ROUND(L366*M366,2),0)</f>
        <v>0</v>
      </c>
      <c r="Q366" s="35" t="n">
        <f aca="false">IF(O366="No",ROUND(L366*M366/2,2),0)</f>
        <v>0</v>
      </c>
      <c r="R366" s="35" t="n">
        <f aca="false">Q366</f>
        <v>0</v>
      </c>
      <c r="S366" s="35" t="n">
        <f aca="false">L366+P366+Q366+R366</f>
        <v>0</v>
      </c>
      <c r="T366" s="34" t="str">
        <f aca="false">IF(A366="","",IFERROR(INDEX(Customers!$B$5:$B$204,MATCH(C366,Customers!$A$5:$A$204,0))&amp;"",""))</f>
        <v/>
      </c>
      <c r="U366" s="38" t="str">
        <f aca="false">IF(A366="","",IF(T366&lt;&gt;"","B2B",IF(AND(O366="Yes",SUMIF($A$5:$A$1004,A366,$L$5:$L$1004)+SUMIF($A$5:$A$1004,A366,$P$5:$P$1004)&gt;100000),"B2CL","B2CS")))</f>
        <v/>
      </c>
      <c r="V366" s="17" t="str">
        <f aca="false">IF(A366="","",TEXT(B366,"mmm-yyyy"))</f>
        <v/>
      </c>
    </row>
    <row r="367" customFormat="false" ht="15" hidden="false" customHeight="true" outlineLevel="0" collapsed="false">
      <c r="A367" s="24"/>
      <c r="B367" s="39"/>
      <c r="C367" s="24"/>
      <c r="D367" s="24"/>
      <c r="E367" s="40"/>
      <c r="F367" s="29"/>
      <c r="G367" s="30"/>
      <c r="H367" s="17" t="str">
        <f aca="false">IF(A367="","",A367&amp;"|"&amp;COUNTIF(A$5:A367,A367))</f>
        <v/>
      </c>
      <c r="I367" s="33" t="str">
        <f aca="false">IF(A367="","",IFERROR(INDEX(Items!$B$5:$B$304,MATCH(D367,Items!$A$5:$A$304,0))&amp;"",""))</f>
        <v/>
      </c>
      <c r="J367" s="34" t="str">
        <f aca="false">IF(A367="","",IFERROR(INDEX(Items!$C$5:$C$304,MATCH(D367,Items!$A$5:$A$304,0))&amp;"",""))</f>
        <v/>
      </c>
      <c r="K367" s="35" t="n">
        <f aca="false">IF(A367="",0,IF(ISNUMBER(F367),F367,IFERROR(INDEX(Items!$D$5:$D$304,MATCH(D367,Items!$A$5:$A$304,0)),0)))</f>
        <v>0</v>
      </c>
      <c r="L367" s="35" t="n">
        <f aca="false">ROUND(N(E367)*K367*(1-N(G367)),2)</f>
        <v>0</v>
      </c>
      <c r="M367" s="36" t="n">
        <f aca="false">IF(A367="",0,IFERROR(INDEX(Items!$E$5:$E$304,MATCH(D367,Items!$A$5:$A$304,0)),0))</f>
        <v>0</v>
      </c>
      <c r="N367" s="37" t="str">
        <f aca="false">IF(A367="","",IFERROR(INDEX(Customers!$E$5:$E$204,MATCH(C367,Customers!$A$5:$A$204,0)),"?"))</f>
        <v/>
      </c>
      <c r="O367" s="38" t="str">
        <f aca="false">IF(A367="","",IF(N367=Settings!$B$17,"No","Yes"))</f>
        <v/>
      </c>
      <c r="P367" s="35" t="n">
        <f aca="false">IF(O367="Yes",ROUND(L367*M367,2),0)</f>
        <v>0</v>
      </c>
      <c r="Q367" s="35" t="n">
        <f aca="false">IF(O367="No",ROUND(L367*M367/2,2),0)</f>
        <v>0</v>
      </c>
      <c r="R367" s="35" t="n">
        <f aca="false">Q367</f>
        <v>0</v>
      </c>
      <c r="S367" s="35" t="n">
        <f aca="false">L367+P367+Q367+R367</f>
        <v>0</v>
      </c>
      <c r="T367" s="34" t="str">
        <f aca="false">IF(A367="","",IFERROR(INDEX(Customers!$B$5:$B$204,MATCH(C367,Customers!$A$5:$A$204,0))&amp;"",""))</f>
        <v/>
      </c>
      <c r="U367" s="38" t="str">
        <f aca="false">IF(A367="","",IF(T367&lt;&gt;"","B2B",IF(AND(O367="Yes",SUMIF($A$5:$A$1004,A367,$L$5:$L$1004)+SUMIF($A$5:$A$1004,A367,$P$5:$P$1004)&gt;100000),"B2CL","B2CS")))</f>
        <v/>
      </c>
      <c r="V367" s="17" t="str">
        <f aca="false">IF(A367="","",TEXT(B367,"mmm-yyyy"))</f>
        <v/>
      </c>
    </row>
    <row r="368" customFormat="false" ht="15" hidden="false" customHeight="true" outlineLevel="0" collapsed="false">
      <c r="A368" s="24"/>
      <c r="B368" s="39"/>
      <c r="C368" s="24"/>
      <c r="D368" s="24"/>
      <c r="E368" s="40"/>
      <c r="F368" s="29"/>
      <c r="G368" s="30"/>
      <c r="H368" s="17" t="str">
        <f aca="false">IF(A368="","",A368&amp;"|"&amp;COUNTIF(A$5:A368,A368))</f>
        <v/>
      </c>
      <c r="I368" s="33" t="str">
        <f aca="false">IF(A368="","",IFERROR(INDEX(Items!$B$5:$B$304,MATCH(D368,Items!$A$5:$A$304,0))&amp;"",""))</f>
        <v/>
      </c>
      <c r="J368" s="34" t="str">
        <f aca="false">IF(A368="","",IFERROR(INDEX(Items!$C$5:$C$304,MATCH(D368,Items!$A$5:$A$304,0))&amp;"",""))</f>
        <v/>
      </c>
      <c r="K368" s="35" t="n">
        <f aca="false">IF(A368="",0,IF(ISNUMBER(F368),F368,IFERROR(INDEX(Items!$D$5:$D$304,MATCH(D368,Items!$A$5:$A$304,0)),0)))</f>
        <v>0</v>
      </c>
      <c r="L368" s="35" t="n">
        <f aca="false">ROUND(N(E368)*K368*(1-N(G368)),2)</f>
        <v>0</v>
      </c>
      <c r="M368" s="36" t="n">
        <f aca="false">IF(A368="",0,IFERROR(INDEX(Items!$E$5:$E$304,MATCH(D368,Items!$A$5:$A$304,0)),0))</f>
        <v>0</v>
      </c>
      <c r="N368" s="37" t="str">
        <f aca="false">IF(A368="","",IFERROR(INDEX(Customers!$E$5:$E$204,MATCH(C368,Customers!$A$5:$A$204,0)),"?"))</f>
        <v/>
      </c>
      <c r="O368" s="38" t="str">
        <f aca="false">IF(A368="","",IF(N368=Settings!$B$17,"No","Yes"))</f>
        <v/>
      </c>
      <c r="P368" s="35" t="n">
        <f aca="false">IF(O368="Yes",ROUND(L368*M368,2),0)</f>
        <v>0</v>
      </c>
      <c r="Q368" s="35" t="n">
        <f aca="false">IF(O368="No",ROUND(L368*M368/2,2),0)</f>
        <v>0</v>
      </c>
      <c r="R368" s="35" t="n">
        <f aca="false">Q368</f>
        <v>0</v>
      </c>
      <c r="S368" s="35" t="n">
        <f aca="false">L368+P368+Q368+R368</f>
        <v>0</v>
      </c>
      <c r="T368" s="34" t="str">
        <f aca="false">IF(A368="","",IFERROR(INDEX(Customers!$B$5:$B$204,MATCH(C368,Customers!$A$5:$A$204,0))&amp;"",""))</f>
        <v/>
      </c>
      <c r="U368" s="38" t="str">
        <f aca="false">IF(A368="","",IF(T368&lt;&gt;"","B2B",IF(AND(O368="Yes",SUMIF($A$5:$A$1004,A368,$L$5:$L$1004)+SUMIF($A$5:$A$1004,A368,$P$5:$P$1004)&gt;100000),"B2CL","B2CS")))</f>
        <v/>
      </c>
      <c r="V368" s="17" t="str">
        <f aca="false">IF(A368="","",TEXT(B368,"mmm-yyyy"))</f>
        <v/>
      </c>
    </row>
    <row r="369" customFormat="false" ht="15" hidden="false" customHeight="true" outlineLevel="0" collapsed="false">
      <c r="A369" s="24"/>
      <c r="B369" s="39"/>
      <c r="C369" s="24"/>
      <c r="D369" s="24"/>
      <c r="E369" s="40"/>
      <c r="F369" s="29"/>
      <c r="G369" s="30"/>
      <c r="H369" s="17" t="str">
        <f aca="false">IF(A369="","",A369&amp;"|"&amp;COUNTIF(A$5:A369,A369))</f>
        <v/>
      </c>
      <c r="I369" s="33" t="str">
        <f aca="false">IF(A369="","",IFERROR(INDEX(Items!$B$5:$B$304,MATCH(D369,Items!$A$5:$A$304,0))&amp;"",""))</f>
        <v/>
      </c>
      <c r="J369" s="34" t="str">
        <f aca="false">IF(A369="","",IFERROR(INDEX(Items!$C$5:$C$304,MATCH(D369,Items!$A$5:$A$304,0))&amp;"",""))</f>
        <v/>
      </c>
      <c r="K369" s="35" t="n">
        <f aca="false">IF(A369="",0,IF(ISNUMBER(F369),F369,IFERROR(INDEX(Items!$D$5:$D$304,MATCH(D369,Items!$A$5:$A$304,0)),0)))</f>
        <v>0</v>
      </c>
      <c r="L369" s="35" t="n">
        <f aca="false">ROUND(N(E369)*K369*(1-N(G369)),2)</f>
        <v>0</v>
      </c>
      <c r="M369" s="36" t="n">
        <f aca="false">IF(A369="",0,IFERROR(INDEX(Items!$E$5:$E$304,MATCH(D369,Items!$A$5:$A$304,0)),0))</f>
        <v>0</v>
      </c>
      <c r="N369" s="37" t="str">
        <f aca="false">IF(A369="","",IFERROR(INDEX(Customers!$E$5:$E$204,MATCH(C369,Customers!$A$5:$A$204,0)),"?"))</f>
        <v/>
      </c>
      <c r="O369" s="38" t="str">
        <f aca="false">IF(A369="","",IF(N369=Settings!$B$17,"No","Yes"))</f>
        <v/>
      </c>
      <c r="P369" s="35" t="n">
        <f aca="false">IF(O369="Yes",ROUND(L369*M369,2),0)</f>
        <v>0</v>
      </c>
      <c r="Q369" s="35" t="n">
        <f aca="false">IF(O369="No",ROUND(L369*M369/2,2),0)</f>
        <v>0</v>
      </c>
      <c r="R369" s="35" t="n">
        <f aca="false">Q369</f>
        <v>0</v>
      </c>
      <c r="S369" s="35" t="n">
        <f aca="false">L369+P369+Q369+R369</f>
        <v>0</v>
      </c>
      <c r="T369" s="34" t="str">
        <f aca="false">IF(A369="","",IFERROR(INDEX(Customers!$B$5:$B$204,MATCH(C369,Customers!$A$5:$A$204,0))&amp;"",""))</f>
        <v/>
      </c>
      <c r="U369" s="38" t="str">
        <f aca="false">IF(A369="","",IF(T369&lt;&gt;"","B2B",IF(AND(O369="Yes",SUMIF($A$5:$A$1004,A369,$L$5:$L$1004)+SUMIF($A$5:$A$1004,A369,$P$5:$P$1004)&gt;100000),"B2CL","B2CS")))</f>
        <v/>
      </c>
      <c r="V369" s="17" t="str">
        <f aca="false">IF(A369="","",TEXT(B369,"mmm-yyyy"))</f>
        <v/>
      </c>
    </row>
    <row r="370" customFormat="false" ht="15" hidden="false" customHeight="true" outlineLevel="0" collapsed="false">
      <c r="A370" s="24"/>
      <c r="B370" s="39"/>
      <c r="C370" s="24"/>
      <c r="D370" s="24"/>
      <c r="E370" s="40"/>
      <c r="F370" s="29"/>
      <c r="G370" s="30"/>
      <c r="H370" s="17" t="str">
        <f aca="false">IF(A370="","",A370&amp;"|"&amp;COUNTIF(A$5:A370,A370))</f>
        <v/>
      </c>
      <c r="I370" s="33" t="str">
        <f aca="false">IF(A370="","",IFERROR(INDEX(Items!$B$5:$B$304,MATCH(D370,Items!$A$5:$A$304,0))&amp;"",""))</f>
        <v/>
      </c>
      <c r="J370" s="34" t="str">
        <f aca="false">IF(A370="","",IFERROR(INDEX(Items!$C$5:$C$304,MATCH(D370,Items!$A$5:$A$304,0))&amp;"",""))</f>
        <v/>
      </c>
      <c r="K370" s="35" t="n">
        <f aca="false">IF(A370="",0,IF(ISNUMBER(F370),F370,IFERROR(INDEX(Items!$D$5:$D$304,MATCH(D370,Items!$A$5:$A$304,0)),0)))</f>
        <v>0</v>
      </c>
      <c r="L370" s="35" t="n">
        <f aca="false">ROUND(N(E370)*K370*(1-N(G370)),2)</f>
        <v>0</v>
      </c>
      <c r="M370" s="36" t="n">
        <f aca="false">IF(A370="",0,IFERROR(INDEX(Items!$E$5:$E$304,MATCH(D370,Items!$A$5:$A$304,0)),0))</f>
        <v>0</v>
      </c>
      <c r="N370" s="37" t="str">
        <f aca="false">IF(A370="","",IFERROR(INDEX(Customers!$E$5:$E$204,MATCH(C370,Customers!$A$5:$A$204,0)),"?"))</f>
        <v/>
      </c>
      <c r="O370" s="38" t="str">
        <f aca="false">IF(A370="","",IF(N370=Settings!$B$17,"No","Yes"))</f>
        <v/>
      </c>
      <c r="P370" s="35" t="n">
        <f aca="false">IF(O370="Yes",ROUND(L370*M370,2),0)</f>
        <v>0</v>
      </c>
      <c r="Q370" s="35" t="n">
        <f aca="false">IF(O370="No",ROUND(L370*M370/2,2),0)</f>
        <v>0</v>
      </c>
      <c r="R370" s="35" t="n">
        <f aca="false">Q370</f>
        <v>0</v>
      </c>
      <c r="S370" s="35" t="n">
        <f aca="false">L370+P370+Q370+R370</f>
        <v>0</v>
      </c>
      <c r="T370" s="34" t="str">
        <f aca="false">IF(A370="","",IFERROR(INDEX(Customers!$B$5:$B$204,MATCH(C370,Customers!$A$5:$A$204,0))&amp;"",""))</f>
        <v/>
      </c>
      <c r="U370" s="38" t="str">
        <f aca="false">IF(A370="","",IF(T370&lt;&gt;"","B2B",IF(AND(O370="Yes",SUMIF($A$5:$A$1004,A370,$L$5:$L$1004)+SUMIF($A$5:$A$1004,A370,$P$5:$P$1004)&gt;100000),"B2CL","B2CS")))</f>
        <v/>
      </c>
      <c r="V370" s="17" t="str">
        <f aca="false">IF(A370="","",TEXT(B370,"mmm-yyyy"))</f>
        <v/>
      </c>
    </row>
    <row r="371" customFormat="false" ht="15" hidden="false" customHeight="true" outlineLevel="0" collapsed="false">
      <c r="A371" s="24"/>
      <c r="B371" s="39"/>
      <c r="C371" s="24"/>
      <c r="D371" s="24"/>
      <c r="E371" s="40"/>
      <c r="F371" s="29"/>
      <c r="G371" s="30"/>
      <c r="H371" s="17" t="str">
        <f aca="false">IF(A371="","",A371&amp;"|"&amp;COUNTIF(A$5:A371,A371))</f>
        <v/>
      </c>
      <c r="I371" s="33" t="str">
        <f aca="false">IF(A371="","",IFERROR(INDEX(Items!$B$5:$B$304,MATCH(D371,Items!$A$5:$A$304,0))&amp;"",""))</f>
        <v/>
      </c>
      <c r="J371" s="34" t="str">
        <f aca="false">IF(A371="","",IFERROR(INDEX(Items!$C$5:$C$304,MATCH(D371,Items!$A$5:$A$304,0))&amp;"",""))</f>
        <v/>
      </c>
      <c r="K371" s="35" t="n">
        <f aca="false">IF(A371="",0,IF(ISNUMBER(F371),F371,IFERROR(INDEX(Items!$D$5:$D$304,MATCH(D371,Items!$A$5:$A$304,0)),0)))</f>
        <v>0</v>
      </c>
      <c r="L371" s="35" t="n">
        <f aca="false">ROUND(N(E371)*K371*(1-N(G371)),2)</f>
        <v>0</v>
      </c>
      <c r="M371" s="36" t="n">
        <f aca="false">IF(A371="",0,IFERROR(INDEX(Items!$E$5:$E$304,MATCH(D371,Items!$A$5:$A$304,0)),0))</f>
        <v>0</v>
      </c>
      <c r="N371" s="37" t="str">
        <f aca="false">IF(A371="","",IFERROR(INDEX(Customers!$E$5:$E$204,MATCH(C371,Customers!$A$5:$A$204,0)),"?"))</f>
        <v/>
      </c>
      <c r="O371" s="38" t="str">
        <f aca="false">IF(A371="","",IF(N371=Settings!$B$17,"No","Yes"))</f>
        <v/>
      </c>
      <c r="P371" s="35" t="n">
        <f aca="false">IF(O371="Yes",ROUND(L371*M371,2),0)</f>
        <v>0</v>
      </c>
      <c r="Q371" s="35" t="n">
        <f aca="false">IF(O371="No",ROUND(L371*M371/2,2),0)</f>
        <v>0</v>
      </c>
      <c r="R371" s="35" t="n">
        <f aca="false">Q371</f>
        <v>0</v>
      </c>
      <c r="S371" s="35" t="n">
        <f aca="false">L371+P371+Q371+R371</f>
        <v>0</v>
      </c>
      <c r="T371" s="34" t="str">
        <f aca="false">IF(A371="","",IFERROR(INDEX(Customers!$B$5:$B$204,MATCH(C371,Customers!$A$5:$A$204,0))&amp;"",""))</f>
        <v/>
      </c>
      <c r="U371" s="38" t="str">
        <f aca="false">IF(A371="","",IF(T371&lt;&gt;"","B2B",IF(AND(O371="Yes",SUMIF($A$5:$A$1004,A371,$L$5:$L$1004)+SUMIF($A$5:$A$1004,A371,$P$5:$P$1004)&gt;100000),"B2CL","B2CS")))</f>
        <v/>
      </c>
      <c r="V371" s="17" t="str">
        <f aca="false">IF(A371="","",TEXT(B371,"mmm-yyyy"))</f>
        <v/>
      </c>
    </row>
    <row r="372" customFormat="false" ht="15" hidden="false" customHeight="true" outlineLevel="0" collapsed="false">
      <c r="A372" s="24"/>
      <c r="B372" s="39"/>
      <c r="C372" s="24"/>
      <c r="D372" s="24"/>
      <c r="E372" s="40"/>
      <c r="F372" s="29"/>
      <c r="G372" s="30"/>
      <c r="H372" s="17" t="str">
        <f aca="false">IF(A372="","",A372&amp;"|"&amp;COUNTIF(A$5:A372,A372))</f>
        <v/>
      </c>
      <c r="I372" s="33" t="str">
        <f aca="false">IF(A372="","",IFERROR(INDEX(Items!$B$5:$B$304,MATCH(D372,Items!$A$5:$A$304,0))&amp;"",""))</f>
        <v/>
      </c>
      <c r="J372" s="34" t="str">
        <f aca="false">IF(A372="","",IFERROR(INDEX(Items!$C$5:$C$304,MATCH(D372,Items!$A$5:$A$304,0))&amp;"",""))</f>
        <v/>
      </c>
      <c r="K372" s="35" t="n">
        <f aca="false">IF(A372="",0,IF(ISNUMBER(F372),F372,IFERROR(INDEX(Items!$D$5:$D$304,MATCH(D372,Items!$A$5:$A$304,0)),0)))</f>
        <v>0</v>
      </c>
      <c r="L372" s="35" t="n">
        <f aca="false">ROUND(N(E372)*K372*(1-N(G372)),2)</f>
        <v>0</v>
      </c>
      <c r="M372" s="36" t="n">
        <f aca="false">IF(A372="",0,IFERROR(INDEX(Items!$E$5:$E$304,MATCH(D372,Items!$A$5:$A$304,0)),0))</f>
        <v>0</v>
      </c>
      <c r="N372" s="37" t="str">
        <f aca="false">IF(A372="","",IFERROR(INDEX(Customers!$E$5:$E$204,MATCH(C372,Customers!$A$5:$A$204,0)),"?"))</f>
        <v/>
      </c>
      <c r="O372" s="38" t="str">
        <f aca="false">IF(A372="","",IF(N372=Settings!$B$17,"No","Yes"))</f>
        <v/>
      </c>
      <c r="P372" s="35" t="n">
        <f aca="false">IF(O372="Yes",ROUND(L372*M372,2),0)</f>
        <v>0</v>
      </c>
      <c r="Q372" s="35" t="n">
        <f aca="false">IF(O372="No",ROUND(L372*M372/2,2),0)</f>
        <v>0</v>
      </c>
      <c r="R372" s="35" t="n">
        <f aca="false">Q372</f>
        <v>0</v>
      </c>
      <c r="S372" s="35" t="n">
        <f aca="false">L372+P372+Q372+R372</f>
        <v>0</v>
      </c>
      <c r="T372" s="34" t="str">
        <f aca="false">IF(A372="","",IFERROR(INDEX(Customers!$B$5:$B$204,MATCH(C372,Customers!$A$5:$A$204,0))&amp;"",""))</f>
        <v/>
      </c>
      <c r="U372" s="38" t="str">
        <f aca="false">IF(A372="","",IF(T372&lt;&gt;"","B2B",IF(AND(O372="Yes",SUMIF($A$5:$A$1004,A372,$L$5:$L$1004)+SUMIF($A$5:$A$1004,A372,$P$5:$P$1004)&gt;100000),"B2CL","B2CS")))</f>
        <v/>
      </c>
      <c r="V372" s="17" t="str">
        <f aca="false">IF(A372="","",TEXT(B372,"mmm-yyyy"))</f>
        <v/>
      </c>
    </row>
    <row r="373" customFormat="false" ht="15" hidden="false" customHeight="true" outlineLevel="0" collapsed="false">
      <c r="A373" s="24"/>
      <c r="B373" s="39"/>
      <c r="C373" s="24"/>
      <c r="D373" s="24"/>
      <c r="E373" s="40"/>
      <c r="F373" s="29"/>
      <c r="G373" s="30"/>
      <c r="H373" s="17" t="str">
        <f aca="false">IF(A373="","",A373&amp;"|"&amp;COUNTIF(A$5:A373,A373))</f>
        <v/>
      </c>
      <c r="I373" s="33" t="str">
        <f aca="false">IF(A373="","",IFERROR(INDEX(Items!$B$5:$B$304,MATCH(D373,Items!$A$5:$A$304,0))&amp;"",""))</f>
        <v/>
      </c>
      <c r="J373" s="34" t="str">
        <f aca="false">IF(A373="","",IFERROR(INDEX(Items!$C$5:$C$304,MATCH(D373,Items!$A$5:$A$304,0))&amp;"",""))</f>
        <v/>
      </c>
      <c r="K373" s="35" t="n">
        <f aca="false">IF(A373="",0,IF(ISNUMBER(F373),F373,IFERROR(INDEX(Items!$D$5:$D$304,MATCH(D373,Items!$A$5:$A$304,0)),0)))</f>
        <v>0</v>
      </c>
      <c r="L373" s="35" t="n">
        <f aca="false">ROUND(N(E373)*K373*(1-N(G373)),2)</f>
        <v>0</v>
      </c>
      <c r="M373" s="36" t="n">
        <f aca="false">IF(A373="",0,IFERROR(INDEX(Items!$E$5:$E$304,MATCH(D373,Items!$A$5:$A$304,0)),0))</f>
        <v>0</v>
      </c>
      <c r="N373" s="37" t="str">
        <f aca="false">IF(A373="","",IFERROR(INDEX(Customers!$E$5:$E$204,MATCH(C373,Customers!$A$5:$A$204,0)),"?"))</f>
        <v/>
      </c>
      <c r="O373" s="38" t="str">
        <f aca="false">IF(A373="","",IF(N373=Settings!$B$17,"No","Yes"))</f>
        <v/>
      </c>
      <c r="P373" s="35" t="n">
        <f aca="false">IF(O373="Yes",ROUND(L373*M373,2),0)</f>
        <v>0</v>
      </c>
      <c r="Q373" s="35" t="n">
        <f aca="false">IF(O373="No",ROUND(L373*M373/2,2),0)</f>
        <v>0</v>
      </c>
      <c r="R373" s="35" t="n">
        <f aca="false">Q373</f>
        <v>0</v>
      </c>
      <c r="S373" s="35" t="n">
        <f aca="false">L373+P373+Q373+R373</f>
        <v>0</v>
      </c>
      <c r="T373" s="34" t="str">
        <f aca="false">IF(A373="","",IFERROR(INDEX(Customers!$B$5:$B$204,MATCH(C373,Customers!$A$5:$A$204,0))&amp;"",""))</f>
        <v/>
      </c>
      <c r="U373" s="38" t="str">
        <f aca="false">IF(A373="","",IF(T373&lt;&gt;"","B2B",IF(AND(O373="Yes",SUMIF($A$5:$A$1004,A373,$L$5:$L$1004)+SUMIF($A$5:$A$1004,A373,$P$5:$P$1004)&gt;100000),"B2CL","B2CS")))</f>
        <v/>
      </c>
      <c r="V373" s="17" t="str">
        <f aca="false">IF(A373="","",TEXT(B373,"mmm-yyyy"))</f>
        <v/>
      </c>
    </row>
    <row r="374" customFormat="false" ht="15" hidden="false" customHeight="true" outlineLevel="0" collapsed="false">
      <c r="A374" s="24"/>
      <c r="B374" s="39"/>
      <c r="C374" s="24"/>
      <c r="D374" s="24"/>
      <c r="E374" s="40"/>
      <c r="F374" s="29"/>
      <c r="G374" s="30"/>
      <c r="H374" s="17" t="str">
        <f aca="false">IF(A374="","",A374&amp;"|"&amp;COUNTIF(A$5:A374,A374))</f>
        <v/>
      </c>
      <c r="I374" s="33" t="str">
        <f aca="false">IF(A374="","",IFERROR(INDEX(Items!$B$5:$B$304,MATCH(D374,Items!$A$5:$A$304,0))&amp;"",""))</f>
        <v/>
      </c>
      <c r="J374" s="34" t="str">
        <f aca="false">IF(A374="","",IFERROR(INDEX(Items!$C$5:$C$304,MATCH(D374,Items!$A$5:$A$304,0))&amp;"",""))</f>
        <v/>
      </c>
      <c r="K374" s="35" t="n">
        <f aca="false">IF(A374="",0,IF(ISNUMBER(F374),F374,IFERROR(INDEX(Items!$D$5:$D$304,MATCH(D374,Items!$A$5:$A$304,0)),0)))</f>
        <v>0</v>
      </c>
      <c r="L374" s="35" t="n">
        <f aca="false">ROUND(N(E374)*K374*(1-N(G374)),2)</f>
        <v>0</v>
      </c>
      <c r="M374" s="36" t="n">
        <f aca="false">IF(A374="",0,IFERROR(INDEX(Items!$E$5:$E$304,MATCH(D374,Items!$A$5:$A$304,0)),0))</f>
        <v>0</v>
      </c>
      <c r="N374" s="37" t="str">
        <f aca="false">IF(A374="","",IFERROR(INDEX(Customers!$E$5:$E$204,MATCH(C374,Customers!$A$5:$A$204,0)),"?"))</f>
        <v/>
      </c>
      <c r="O374" s="38" t="str">
        <f aca="false">IF(A374="","",IF(N374=Settings!$B$17,"No","Yes"))</f>
        <v/>
      </c>
      <c r="P374" s="35" t="n">
        <f aca="false">IF(O374="Yes",ROUND(L374*M374,2),0)</f>
        <v>0</v>
      </c>
      <c r="Q374" s="35" t="n">
        <f aca="false">IF(O374="No",ROUND(L374*M374/2,2),0)</f>
        <v>0</v>
      </c>
      <c r="R374" s="35" t="n">
        <f aca="false">Q374</f>
        <v>0</v>
      </c>
      <c r="S374" s="35" t="n">
        <f aca="false">L374+P374+Q374+R374</f>
        <v>0</v>
      </c>
      <c r="T374" s="34" t="str">
        <f aca="false">IF(A374="","",IFERROR(INDEX(Customers!$B$5:$B$204,MATCH(C374,Customers!$A$5:$A$204,0))&amp;"",""))</f>
        <v/>
      </c>
      <c r="U374" s="38" t="str">
        <f aca="false">IF(A374="","",IF(T374&lt;&gt;"","B2B",IF(AND(O374="Yes",SUMIF($A$5:$A$1004,A374,$L$5:$L$1004)+SUMIF($A$5:$A$1004,A374,$P$5:$P$1004)&gt;100000),"B2CL","B2CS")))</f>
        <v/>
      </c>
      <c r="V374" s="17" t="str">
        <f aca="false">IF(A374="","",TEXT(B374,"mmm-yyyy"))</f>
        <v/>
      </c>
    </row>
    <row r="375" customFormat="false" ht="15" hidden="false" customHeight="true" outlineLevel="0" collapsed="false">
      <c r="A375" s="24"/>
      <c r="B375" s="39"/>
      <c r="C375" s="24"/>
      <c r="D375" s="24"/>
      <c r="E375" s="40"/>
      <c r="F375" s="29"/>
      <c r="G375" s="30"/>
      <c r="H375" s="17" t="str">
        <f aca="false">IF(A375="","",A375&amp;"|"&amp;COUNTIF(A$5:A375,A375))</f>
        <v/>
      </c>
      <c r="I375" s="33" t="str">
        <f aca="false">IF(A375="","",IFERROR(INDEX(Items!$B$5:$B$304,MATCH(D375,Items!$A$5:$A$304,0))&amp;"",""))</f>
        <v/>
      </c>
      <c r="J375" s="34" t="str">
        <f aca="false">IF(A375="","",IFERROR(INDEX(Items!$C$5:$C$304,MATCH(D375,Items!$A$5:$A$304,0))&amp;"",""))</f>
        <v/>
      </c>
      <c r="K375" s="35" t="n">
        <f aca="false">IF(A375="",0,IF(ISNUMBER(F375),F375,IFERROR(INDEX(Items!$D$5:$D$304,MATCH(D375,Items!$A$5:$A$304,0)),0)))</f>
        <v>0</v>
      </c>
      <c r="L375" s="35" t="n">
        <f aca="false">ROUND(N(E375)*K375*(1-N(G375)),2)</f>
        <v>0</v>
      </c>
      <c r="M375" s="36" t="n">
        <f aca="false">IF(A375="",0,IFERROR(INDEX(Items!$E$5:$E$304,MATCH(D375,Items!$A$5:$A$304,0)),0))</f>
        <v>0</v>
      </c>
      <c r="N375" s="37" t="str">
        <f aca="false">IF(A375="","",IFERROR(INDEX(Customers!$E$5:$E$204,MATCH(C375,Customers!$A$5:$A$204,0)),"?"))</f>
        <v/>
      </c>
      <c r="O375" s="38" t="str">
        <f aca="false">IF(A375="","",IF(N375=Settings!$B$17,"No","Yes"))</f>
        <v/>
      </c>
      <c r="P375" s="35" t="n">
        <f aca="false">IF(O375="Yes",ROUND(L375*M375,2),0)</f>
        <v>0</v>
      </c>
      <c r="Q375" s="35" t="n">
        <f aca="false">IF(O375="No",ROUND(L375*M375/2,2),0)</f>
        <v>0</v>
      </c>
      <c r="R375" s="35" t="n">
        <f aca="false">Q375</f>
        <v>0</v>
      </c>
      <c r="S375" s="35" t="n">
        <f aca="false">L375+P375+Q375+R375</f>
        <v>0</v>
      </c>
      <c r="T375" s="34" t="str">
        <f aca="false">IF(A375="","",IFERROR(INDEX(Customers!$B$5:$B$204,MATCH(C375,Customers!$A$5:$A$204,0))&amp;"",""))</f>
        <v/>
      </c>
      <c r="U375" s="38" t="str">
        <f aca="false">IF(A375="","",IF(T375&lt;&gt;"","B2B",IF(AND(O375="Yes",SUMIF($A$5:$A$1004,A375,$L$5:$L$1004)+SUMIF($A$5:$A$1004,A375,$P$5:$P$1004)&gt;100000),"B2CL","B2CS")))</f>
        <v/>
      </c>
      <c r="V375" s="17" t="str">
        <f aca="false">IF(A375="","",TEXT(B375,"mmm-yyyy"))</f>
        <v/>
      </c>
    </row>
    <row r="376" customFormat="false" ht="15" hidden="false" customHeight="true" outlineLevel="0" collapsed="false">
      <c r="A376" s="24"/>
      <c r="B376" s="39"/>
      <c r="C376" s="24"/>
      <c r="D376" s="24"/>
      <c r="E376" s="40"/>
      <c r="F376" s="29"/>
      <c r="G376" s="30"/>
      <c r="H376" s="17" t="str">
        <f aca="false">IF(A376="","",A376&amp;"|"&amp;COUNTIF(A$5:A376,A376))</f>
        <v/>
      </c>
      <c r="I376" s="33" t="str">
        <f aca="false">IF(A376="","",IFERROR(INDEX(Items!$B$5:$B$304,MATCH(D376,Items!$A$5:$A$304,0))&amp;"",""))</f>
        <v/>
      </c>
      <c r="J376" s="34" t="str">
        <f aca="false">IF(A376="","",IFERROR(INDEX(Items!$C$5:$C$304,MATCH(D376,Items!$A$5:$A$304,0))&amp;"",""))</f>
        <v/>
      </c>
      <c r="K376" s="35" t="n">
        <f aca="false">IF(A376="",0,IF(ISNUMBER(F376),F376,IFERROR(INDEX(Items!$D$5:$D$304,MATCH(D376,Items!$A$5:$A$304,0)),0)))</f>
        <v>0</v>
      </c>
      <c r="L376" s="35" t="n">
        <f aca="false">ROUND(N(E376)*K376*(1-N(G376)),2)</f>
        <v>0</v>
      </c>
      <c r="M376" s="36" t="n">
        <f aca="false">IF(A376="",0,IFERROR(INDEX(Items!$E$5:$E$304,MATCH(D376,Items!$A$5:$A$304,0)),0))</f>
        <v>0</v>
      </c>
      <c r="N376" s="37" t="str">
        <f aca="false">IF(A376="","",IFERROR(INDEX(Customers!$E$5:$E$204,MATCH(C376,Customers!$A$5:$A$204,0)),"?"))</f>
        <v/>
      </c>
      <c r="O376" s="38" t="str">
        <f aca="false">IF(A376="","",IF(N376=Settings!$B$17,"No","Yes"))</f>
        <v/>
      </c>
      <c r="P376" s="35" t="n">
        <f aca="false">IF(O376="Yes",ROUND(L376*M376,2),0)</f>
        <v>0</v>
      </c>
      <c r="Q376" s="35" t="n">
        <f aca="false">IF(O376="No",ROUND(L376*M376/2,2),0)</f>
        <v>0</v>
      </c>
      <c r="R376" s="35" t="n">
        <f aca="false">Q376</f>
        <v>0</v>
      </c>
      <c r="S376" s="35" t="n">
        <f aca="false">L376+P376+Q376+R376</f>
        <v>0</v>
      </c>
      <c r="T376" s="34" t="str">
        <f aca="false">IF(A376="","",IFERROR(INDEX(Customers!$B$5:$B$204,MATCH(C376,Customers!$A$5:$A$204,0))&amp;"",""))</f>
        <v/>
      </c>
      <c r="U376" s="38" t="str">
        <f aca="false">IF(A376="","",IF(T376&lt;&gt;"","B2B",IF(AND(O376="Yes",SUMIF($A$5:$A$1004,A376,$L$5:$L$1004)+SUMIF($A$5:$A$1004,A376,$P$5:$P$1004)&gt;100000),"B2CL","B2CS")))</f>
        <v/>
      </c>
      <c r="V376" s="17" t="str">
        <f aca="false">IF(A376="","",TEXT(B376,"mmm-yyyy"))</f>
        <v/>
      </c>
    </row>
    <row r="377" customFormat="false" ht="15" hidden="false" customHeight="true" outlineLevel="0" collapsed="false">
      <c r="A377" s="24"/>
      <c r="B377" s="39"/>
      <c r="C377" s="24"/>
      <c r="D377" s="24"/>
      <c r="E377" s="40"/>
      <c r="F377" s="29"/>
      <c r="G377" s="30"/>
      <c r="H377" s="17" t="str">
        <f aca="false">IF(A377="","",A377&amp;"|"&amp;COUNTIF(A$5:A377,A377))</f>
        <v/>
      </c>
      <c r="I377" s="33" t="str">
        <f aca="false">IF(A377="","",IFERROR(INDEX(Items!$B$5:$B$304,MATCH(D377,Items!$A$5:$A$304,0))&amp;"",""))</f>
        <v/>
      </c>
      <c r="J377" s="34" t="str">
        <f aca="false">IF(A377="","",IFERROR(INDEX(Items!$C$5:$C$304,MATCH(D377,Items!$A$5:$A$304,0))&amp;"",""))</f>
        <v/>
      </c>
      <c r="K377" s="35" t="n">
        <f aca="false">IF(A377="",0,IF(ISNUMBER(F377),F377,IFERROR(INDEX(Items!$D$5:$D$304,MATCH(D377,Items!$A$5:$A$304,0)),0)))</f>
        <v>0</v>
      </c>
      <c r="L377" s="35" t="n">
        <f aca="false">ROUND(N(E377)*K377*(1-N(G377)),2)</f>
        <v>0</v>
      </c>
      <c r="M377" s="36" t="n">
        <f aca="false">IF(A377="",0,IFERROR(INDEX(Items!$E$5:$E$304,MATCH(D377,Items!$A$5:$A$304,0)),0))</f>
        <v>0</v>
      </c>
      <c r="N377" s="37" t="str">
        <f aca="false">IF(A377="","",IFERROR(INDEX(Customers!$E$5:$E$204,MATCH(C377,Customers!$A$5:$A$204,0)),"?"))</f>
        <v/>
      </c>
      <c r="O377" s="38" t="str">
        <f aca="false">IF(A377="","",IF(N377=Settings!$B$17,"No","Yes"))</f>
        <v/>
      </c>
      <c r="P377" s="35" t="n">
        <f aca="false">IF(O377="Yes",ROUND(L377*M377,2),0)</f>
        <v>0</v>
      </c>
      <c r="Q377" s="35" t="n">
        <f aca="false">IF(O377="No",ROUND(L377*M377/2,2),0)</f>
        <v>0</v>
      </c>
      <c r="R377" s="35" t="n">
        <f aca="false">Q377</f>
        <v>0</v>
      </c>
      <c r="S377" s="35" t="n">
        <f aca="false">L377+P377+Q377+R377</f>
        <v>0</v>
      </c>
      <c r="T377" s="34" t="str">
        <f aca="false">IF(A377="","",IFERROR(INDEX(Customers!$B$5:$B$204,MATCH(C377,Customers!$A$5:$A$204,0))&amp;"",""))</f>
        <v/>
      </c>
      <c r="U377" s="38" t="str">
        <f aca="false">IF(A377="","",IF(T377&lt;&gt;"","B2B",IF(AND(O377="Yes",SUMIF($A$5:$A$1004,A377,$L$5:$L$1004)+SUMIF($A$5:$A$1004,A377,$P$5:$P$1004)&gt;100000),"B2CL","B2CS")))</f>
        <v/>
      </c>
      <c r="V377" s="17" t="str">
        <f aca="false">IF(A377="","",TEXT(B377,"mmm-yyyy"))</f>
        <v/>
      </c>
    </row>
    <row r="378" customFormat="false" ht="15" hidden="false" customHeight="true" outlineLevel="0" collapsed="false">
      <c r="A378" s="24"/>
      <c r="B378" s="39"/>
      <c r="C378" s="24"/>
      <c r="D378" s="24"/>
      <c r="E378" s="40"/>
      <c r="F378" s="29"/>
      <c r="G378" s="30"/>
      <c r="H378" s="17" t="str">
        <f aca="false">IF(A378="","",A378&amp;"|"&amp;COUNTIF(A$5:A378,A378))</f>
        <v/>
      </c>
      <c r="I378" s="33" t="str">
        <f aca="false">IF(A378="","",IFERROR(INDEX(Items!$B$5:$B$304,MATCH(D378,Items!$A$5:$A$304,0))&amp;"",""))</f>
        <v/>
      </c>
      <c r="J378" s="34" t="str">
        <f aca="false">IF(A378="","",IFERROR(INDEX(Items!$C$5:$C$304,MATCH(D378,Items!$A$5:$A$304,0))&amp;"",""))</f>
        <v/>
      </c>
      <c r="K378" s="35" t="n">
        <f aca="false">IF(A378="",0,IF(ISNUMBER(F378),F378,IFERROR(INDEX(Items!$D$5:$D$304,MATCH(D378,Items!$A$5:$A$304,0)),0)))</f>
        <v>0</v>
      </c>
      <c r="L378" s="35" t="n">
        <f aca="false">ROUND(N(E378)*K378*(1-N(G378)),2)</f>
        <v>0</v>
      </c>
      <c r="M378" s="36" t="n">
        <f aca="false">IF(A378="",0,IFERROR(INDEX(Items!$E$5:$E$304,MATCH(D378,Items!$A$5:$A$304,0)),0))</f>
        <v>0</v>
      </c>
      <c r="N378" s="37" t="str">
        <f aca="false">IF(A378="","",IFERROR(INDEX(Customers!$E$5:$E$204,MATCH(C378,Customers!$A$5:$A$204,0)),"?"))</f>
        <v/>
      </c>
      <c r="O378" s="38" t="str">
        <f aca="false">IF(A378="","",IF(N378=Settings!$B$17,"No","Yes"))</f>
        <v/>
      </c>
      <c r="P378" s="35" t="n">
        <f aca="false">IF(O378="Yes",ROUND(L378*M378,2),0)</f>
        <v>0</v>
      </c>
      <c r="Q378" s="35" t="n">
        <f aca="false">IF(O378="No",ROUND(L378*M378/2,2),0)</f>
        <v>0</v>
      </c>
      <c r="R378" s="35" t="n">
        <f aca="false">Q378</f>
        <v>0</v>
      </c>
      <c r="S378" s="35" t="n">
        <f aca="false">L378+P378+Q378+R378</f>
        <v>0</v>
      </c>
      <c r="T378" s="34" t="str">
        <f aca="false">IF(A378="","",IFERROR(INDEX(Customers!$B$5:$B$204,MATCH(C378,Customers!$A$5:$A$204,0))&amp;"",""))</f>
        <v/>
      </c>
      <c r="U378" s="38" t="str">
        <f aca="false">IF(A378="","",IF(T378&lt;&gt;"","B2B",IF(AND(O378="Yes",SUMIF($A$5:$A$1004,A378,$L$5:$L$1004)+SUMIF($A$5:$A$1004,A378,$P$5:$P$1004)&gt;100000),"B2CL","B2CS")))</f>
        <v/>
      </c>
      <c r="V378" s="17" t="str">
        <f aca="false">IF(A378="","",TEXT(B378,"mmm-yyyy"))</f>
        <v/>
      </c>
    </row>
    <row r="379" customFormat="false" ht="15" hidden="false" customHeight="true" outlineLevel="0" collapsed="false">
      <c r="A379" s="24"/>
      <c r="B379" s="39"/>
      <c r="C379" s="24"/>
      <c r="D379" s="24"/>
      <c r="E379" s="40"/>
      <c r="F379" s="29"/>
      <c r="G379" s="30"/>
      <c r="H379" s="17" t="str">
        <f aca="false">IF(A379="","",A379&amp;"|"&amp;COUNTIF(A$5:A379,A379))</f>
        <v/>
      </c>
      <c r="I379" s="33" t="str">
        <f aca="false">IF(A379="","",IFERROR(INDEX(Items!$B$5:$B$304,MATCH(D379,Items!$A$5:$A$304,0))&amp;"",""))</f>
        <v/>
      </c>
      <c r="J379" s="34" t="str">
        <f aca="false">IF(A379="","",IFERROR(INDEX(Items!$C$5:$C$304,MATCH(D379,Items!$A$5:$A$304,0))&amp;"",""))</f>
        <v/>
      </c>
      <c r="K379" s="35" t="n">
        <f aca="false">IF(A379="",0,IF(ISNUMBER(F379),F379,IFERROR(INDEX(Items!$D$5:$D$304,MATCH(D379,Items!$A$5:$A$304,0)),0)))</f>
        <v>0</v>
      </c>
      <c r="L379" s="35" t="n">
        <f aca="false">ROUND(N(E379)*K379*(1-N(G379)),2)</f>
        <v>0</v>
      </c>
      <c r="M379" s="36" t="n">
        <f aca="false">IF(A379="",0,IFERROR(INDEX(Items!$E$5:$E$304,MATCH(D379,Items!$A$5:$A$304,0)),0))</f>
        <v>0</v>
      </c>
      <c r="N379" s="37" t="str">
        <f aca="false">IF(A379="","",IFERROR(INDEX(Customers!$E$5:$E$204,MATCH(C379,Customers!$A$5:$A$204,0)),"?"))</f>
        <v/>
      </c>
      <c r="O379" s="38" t="str">
        <f aca="false">IF(A379="","",IF(N379=Settings!$B$17,"No","Yes"))</f>
        <v/>
      </c>
      <c r="P379" s="35" t="n">
        <f aca="false">IF(O379="Yes",ROUND(L379*M379,2),0)</f>
        <v>0</v>
      </c>
      <c r="Q379" s="35" t="n">
        <f aca="false">IF(O379="No",ROUND(L379*M379/2,2),0)</f>
        <v>0</v>
      </c>
      <c r="R379" s="35" t="n">
        <f aca="false">Q379</f>
        <v>0</v>
      </c>
      <c r="S379" s="35" t="n">
        <f aca="false">L379+P379+Q379+R379</f>
        <v>0</v>
      </c>
      <c r="T379" s="34" t="str">
        <f aca="false">IF(A379="","",IFERROR(INDEX(Customers!$B$5:$B$204,MATCH(C379,Customers!$A$5:$A$204,0))&amp;"",""))</f>
        <v/>
      </c>
      <c r="U379" s="38" t="str">
        <f aca="false">IF(A379="","",IF(T379&lt;&gt;"","B2B",IF(AND(O379="Yes",SUMIF($A$5:$A$1004,A379,$L$5:$L$1004)+SUMIF($A$5:$A$1004,A379,$P$5:$P$1004)&gt;100000),"B2CL","B2CS")))</f>
        <v/>
      </c>
      <c r="V379" s="17" t="str">
        <f aca="false">IF(A379="","",TEXT(B379,"mmm-yyyy"))</f>
        <v/>
      </c>
    </row>
    <row r="380" customFormat="false" ht="15" hidden="false" customHeight="true" outlineLevel="0" collapsed="false">
      <c r="A380" s="24"/>
      <c r="B380" s="39"/>
      <c r="C380" s="24"/>
      <c r="D380" s="24"/>
      <c r="E380" s="40"/>
      <c r="F380" s="29"/>
      <c r="G380" s="30"/>
      <c r="H380" s="17" t="str">
        <f aca="false">IF(A380="","",A380&amp;"|"&amp;COUNTIF(A$5:A380,A380))</f>
        <v/>
      </c>
      <c r="I380" s="33" t="str">
        <f aca="false">IF(A380="","",IFERROR(INDEX(Items!$B$5:$B$304,MATCH(D380,Items!$A$5:$A$304,0))&amp;"",""))</f>
        <v/>
      </c>
      <c r="J380" s="34" t="str">
        <f aca="false">IF(A380="","",IFERROR(INDEX(Items!$C$5:$C$304,MATCH(D380,Items!$A$5:$A$304,0))&amp;"",""))</f>
        <v/>
      </c>
      <c r="K380" s="35" t="n">
        <f aca="false">IF(A380="",0,IF(ISNUMBER(F380),F380,IFERROR(INDEX(Items!$D$5:$D$304,MATCH(D380,Items!$A$5:$A$304,0)),0)))</f>
        <v>0</v>
      </c>
      <c r="L380" s="35" t="n">
        <f aca="false">ROUND(N(E380)*K380*(1-N(G380)),2)</f>
        <v>0</v>
      </c>
      <c r="M380" s="36" t="n">
        <f aca="false">IF(A380="",0,IFERROR(INDEX(Items!$E$5:$E$304,MATCH(D380,Items!$A$5:$A$304,0)),0))</f>
        <v>0</v>
      </c>
      <c r="N380" s="37" t="str">
        <f aca="false">IF(A380="","",IFERROR(INDEX(Customers!$E$5:$E$204,MATCH(C380,Customers!$A$5:$A$204,0)),"?"))</f>
        <v/>
      </c>
      <c r="O380" s="38" t="str">
        <f aca="false">IF(A380="","",IF(N380=Settings!$B$17,"No","Yes"))</f>
        <v/>
      </c>
      <c r="P380" s="35" t="n">
        <f aca="false">IF(O380="Yes",ROUND(L380*M380,2),0)</f>
        <v>0</v>
      </c>
      <c r="Q380" s="35" t="n">
        <f aca="false">IF(O380="No",ROUND(L380*M380/2,2),0)</f>
        <v>0</v>
      </c>
      <c r="R380" s="35" t="n">
        <f aca="false">Q380</f>
        <v>0</v>
      </c>
      <c r="S380" s="35" t="n">
        <f aca="false">L380+P380+Q380+R380</f>
        <v>0</v>
      </c>
      <c r="T380" s="34" t="str">
        <f aca="false">IF(A380="","",IFERROR(INDEX(Customers!$B$5:$B$204,MATCH(C380,Customers!$A$5:$A$204,0))&amp;"",""))</f>
        <v/>
      </c>
      <c r="U380" s="38" t="str">
        <f aca="false">IF(A380="","",IF(T380&lt;&gt;"","B2B",IF(AND(O380="Yes",SUMIF($A$5:$A$1004,A380,$L$5:$L$1004)+SUMIF($A$5:$A$1004,A380,$P$5:$P$1004)&gt;100000),"B2CL","B2CS")))</f>
        <v/>
      </c>
      <c r="V380" s="17" t="str">
        <f aca="false">IF(A380="","",TEXT(B380,"mmm-yyyy"))</f>
        <v/>
      </c>
    </row>
    <row r="381" customFormat="false" ht="15" hidden="false" customHeight="true" outlineLevel="0" collapsed="false">
      <c r="A381" s="24"/>
      <c r="B381" s="39"/>
      <c r="C381" s="24"/>
      <c r="D381" s="24"/>
      <c r="E381" s="40"/>
      <c r="F381" s="29"/>
      <c r="G381" s="30"/>
      <c r="H381" s="17" t="str">
        <f aca="false">IF(A381="","",A381&amp;"|"&amp;COUNTIF(A$5:A381,A381))</f>
        <v/>
      </c>
      <c r="I381" s="33" t="str">
        <f aca="false">IF(A381="","",IFERROR(INDEX(Items!$B$5:$B$304,MATCH(D381,Items!$A$5:$A$304,0))&amp;"",""))</f>
        <v/>
      </c>
      <c r="J381" s="34" t="str">
        <f aca="false">IF(A381="","",IFERROR(INDEX(Items!$C$5:$C$304,MATCH(D381,Items!$A$5:$A$304,0))&amp;"",""))</f>
        <v/>
      </c>
      <c r="K381" s="35" t="n">
        <f aca="false">IF(A381="",0,IF(ISNUMBER(F381),F381,IFERROR(INDEX(Items!$D$5:$D$304,MATCH(D381,Items!$A$5:$A$304,0)),0)))</f>
        <v>0</v>
      </c>
      <c r="L381" s="35" t="n">
        <f aca="false">ROUND(N(E381)*K381*(1-N(G381)),2)</f>
        <v>0</v>
      </c>
      <c r="M381" s="36" t="n">
        <f aca="false">IF(A381="",0,IFERROR(INDEX(Items!$E$5:$E$304,MATCH(D381,Items!$A$5:$A$304,0)),0))</f>
        <v>0</v>
      </c>
      <c r="N381" s="37" t="str">
        <f aca="false">IF(A381="","",IFERROR(INDEX(Customers!$E$5:$E$204,MATCH(C381,Customers!$A$5:$A$204,0)),"?"))</f>
        <v/>
      </c>
      <c r="O381" s="38" t="str">
        <f aca="false">IF(A381="","",IF(N381=Settings!$B$17,"No","Yes"))</f>
        <v/>
      </c>
      <c r="P381" s="35" t="n">
        <f aca="false">IF(O381="Yes",ROUND(L381*M381,2),0)</f>
        <v>0</v>
      </c>
      <c r="Q381" s="35" t="n">
        <f aca="false">IF(O381="No",ROUND(L381*M381/2,2),0)</f>
        <v>0</v>
      </c>
      <c r="R381" s="35" t="n">
        <f aca="false">Q381</f>
        <v>0</v>
      </c>
      <c r="S381" s="35" t="n">
        <f aca="false">L381+P381+Q381+R381</f>
        <v>0</v>
      </c>
      <c r="T381" s="34" t="str">
        <f aca="false">IF(A381="","",IFERROR(INDEX(Customers!$B$5:$B$204,MATCH(C381,Customers!$A$5:$A$204,0))&amp;"",""))</f>
        <v/>
      </c>
      <c r="U381" s="38" t="str">
        <f aca="false">IF(A381="","",IF(T381&lt;&gt;"","B2B",IF(AND(O381="Yes",SUMIF($A$5:$A$1004,A381,$L$5:$L$1004)+SUMIF($A$5:$A$1004,A381,$P$5:$P$1004)&gt;100000),"B2CL","B2CS")))</f>
        <v/>
      </c>
      <c r="V381" s="17" t="str">
        <f aca="false">IF(A381="","",TEXT(B381,"mmm-yyyy"))</f>
        <v/>
      </c>
    </row>
    <row r="382" customFormat="false" ht="15" hidden="false" customHeight="true" outlineLevel="0" collapsed="false">
      <c r="A382" s="24"/>
      <c r="B382" s="39"/>
      <c r="C382" s="24"/>
      <c r="D382" s="24"/>
      <c r="E382" s="40"/>
      <c r="F382" s="29"/>
      <c r="G382" s="30"/>
      <c r="H382" s="17" t="str">
        <f aca="false">IF(A382="","",A382&amp;"|"&amp;COUNTIF(A$5:A382,A382))</f>
        <v/>
      </c>
      <c r="I382" s="33" t="str">
        <f aca="false">IF(A382="","",IFERROR(INDEX(Items!$B$5:$B$304,MATCH(D382,Items!$A$5:$A$304,0))&amp;"",""))</f>
        <v/>
      </c>
      <c r="J382" s="34" t="str">
        <f aca="false">IF(A382="","",IFERROR(INDEX(Items!$C$5:$C$304,MATCH(D382,Items!$A$5:$A$304,0))&amp;"",""))</f>
        <v/>
      </c>
      <c r="K382" s="35" t="n">
        <f aca="false">IF(A382="",0,IF(ISNUMBER(F382),F382,IFERROR(INDEX(Items!$D$5:$D$304,MATCH(D382,Items!$A$5:$A$304,0)),0)))</f>
        <v>0</v>
      </c>
      <c r="L382" s="35" t="n">
        <f aca="false">ROUND(N(E382)*K382*(1-N(G382)),2)</f>
        <v>0</v>
      </c>
      <c r="M382" s="36" t="n">
        <f aca="false">IF(A382="",0,IFERROR(INDEX(Items!$E$5:$E$304,MATCH(D382,Items!$A$5:$A$304,0)),0))</f>
        <v>0</v>
      </c>
      <c r="N382" s="37" t="str">
        <f aca="false">IF(A382="","",IFERROR(INDEX(Customers!$E$5:$E$204,MATCH(C382,Customers!$A$5:$A$204,0)),"?"))</f>
        <v/>
      </c>
      <c r="O382" s="38" t="str">
        <f aca="false">IF(A382="","",IF(N382=Settings!$B$17,"No","Yes"))</f>
        <v/>
      </c>
      <c r="P382" s="35" t="n">
        <f aca="false">IF(O382="Yes",ROUND(L382*M382,2),0)</f>
        <v>0</v>
      </c>
      <c r="Q382" s="35" t="n">
        <f aca="false">IF(O382="No",ROUND(L382*M382/2,2),0)</f>
        <v>0</v>
      </c>
      <c r="R382" s="35" t="n">
        <f aca="false">Q382</f>
        <v>0</v>
      </c>
      <c r="S382" s="35" t="n">
        <f aca="false">L382+P382+Q382+R382</f>
        <v>0</v>
      </c>
      <c r="T382" s="34" t="str">
        <f aca="false">IF(A382="","",IFERROR(INDEX(Customers!$B$5:$B$204,MATCH(C382,Customers!$A$5:$A$204,0))&amp;"",""))</f>
        <v/>
      </c>
      <c r="U382" s="38" t="str">
        <f aca="false">IF(A382="","",IF(T382&lt;&gt;"","B2B",IF(AND(O382="Yes",SUMIF($A$5:$A$1004,A382,$L$5:$L$1004)+SUMIF($A$5:$A$1004,A382,$P$5:$P$1004)&gt;100000),"B2CL","B2CS")))</f>
        <v/>
      </c>
      <c r="V382" s="17" t="str">
        <f aca="false">IF(A382="","",TEXT(B382,"mmm-yyyy"))</f>
        <v/>
      </c>
    </row>
    <row r="383" customFormat="false" ht="15" hidden="false" customHeight="true" outlineLevel="0" collapsed="false">
      <c r="A383" s="24"/>
      <c r="B383" s="39"/>
      <c r="C383" s="24"/>
      <c r="D383" s="24"/>
      <c r="E383" s="40"/>
      <c r="F383" s="29"/>
      <c r="G383" s="30"/>
      <c r="H383" s="17" t="str">
        <f aca="false">IF(A383="","",A383&amp;"|"&amp;COUNTIF(A$5:A383,A383))</f>
        <v/>
      </c>
      <c r="I383" s="33" t="str">
        <f aca="false">IF(A383="","",IFERROR(INDEX(Items!$B$5:$B$304,MATCH(D383,Items!$A$5:$A$304,0))&amp;"",""))</f>
        <v/>
      </c>
      <c r="J383" s="34" t="str">
        <f aca="false">IF(A383="","",IFERROR(INDEX(Items!$C$5:$C$304,MATCH(D383,Items!$A$5:$A$304,0))&amp;"",""))</f>
        <v/>
      </c>
      <c r="K383" s="35" t="n">
        <f aca="false">IF(A383="",0,IF(ISNUMBER(F383),F383,IFERROR(INDEX(Items!$D$5:$D$304,MATCH(D383,Items!$A$5:$A$304,0)),0)))</f>
        <v>0</v>
      </c>
      <c r="L383" s="35" t="n">
        <f aca="false">ROUND(N(E383)*K383*(1-N(G383)),2)</f>
        <v>0</v>
      </c>
      <c r="M383" s="36" t="n">
        <f aca="false">IF(A383="",0,IFERROR(INDEX(Items!$E$5:$E$304,MATCH(D383,Items!$A$5:$A$304,0)),0))</f>
        <v>0</v>
      </c>
      <c r="N383" s="37" t="str">
        <f aca="false">IF(A383="","",IFERROR(INDEX(Customers!$E$5:$E$204,MATCH(C383,Customers!$A$5:$A$204,0)),"?"))</f>
        <v/>
      </c>
      <c r="O383" s="38" t="str">
        <f aca="false">IF(A383="","",IF(N383=Settings!$B$17,"No","Yes"))</f>
        <v/>
      </c>
      <c r="P383" s="35" t="n">
        <f aca="false">IF(O383="Yes",ROUND(L383*M383,2),0)</f>
        <v>0</v>
      </c>
      <c r="Q383" s="35" t="n">
        <f aca="false">IF(O383="No",ROUND(L383*M383/2,2),0)</f>
        <v>0</v>
      </c>
      <c r="R383" s="35" t="n">
        <f aca="false">Q383</f>
        <v>0</v>
      </c>
      <c r="S383" s="35" t="n">
        <f aca="false">L383+P383+Q383+R383</f>
        <v>0</v>
      </c>
      <c r="T383" s="34" t="str">
        <f aca="false">IF(A383="","",IFERROR(INDEX(Customers!$B$5:$B$204,MATCH(C383,Customers!$A$5:$A$204,0))&amp;"",""))</f>
        <v/>
      </c>
      <c r="U383" s="38" t="str">
        <f aca="false">IF(A383="","",IF(T383&lt;&gt;"","B2B",IF(AND(O383="Yes",SUMIF($A$5:$A$1004,A383,$L$5:$L$1004)+SUMIF($A$5:$A$1004,A383,$P$5:$P$1004)&gt;100000),"B2CL","B2CS")))</f>
        <v/>
      </c>
      <c r="V383" s="17" t="str">
        <f aca="false">IF(A383="","",TEXT(B383,"mmm-yyyy"))</f>
        <v/>
      </c>
    </row>
    <row r="384" customFormat="false" ht="15" hidden="false" customHeight="true" outlineLevel="0" collapsed="false">
      <c r="A384" s="24"/>
      <c r="B384" s="39"/>
      <c r="C384" s="24"/>
      <c r="D384" s="24"/>
      <c r="E384" s="40"/>
      <c r="F384" s="29"/>
      <c r="G384" s="30"/>
      <c r="H384" s="17" t="str">
        <f aca="false">IF(A384="","",A384&amp;"|"&amp;COUNTIF(A$5:A384,A384))</f>
        <v/>
      </c>
      <c r="I384" s="33" t="str">
        <f aca="false">IF(A384="","",IFERROR(INDEX(Items!$B$5:$B$304,MATCH(D384,Items!$A$5:$A$304,0))&amp;"",""))</f>
        <v/>
      </c>
      <c r="J384" s="34" t="str">
        <f aca="false">IF(A384="","",IFERROR(INDEX(Items!$C$5:$C$304,MATCH(D384,Items!$A$5:$A$304,0))&amp;"",""))</f>
        <v/>
      </c>
      <c r="K384" s="35" t="n">
        <f aca="false">IF(A384="",0,IF(ISNUMBER(F384),F384,IFERROR(INDEX(Items!$D$5:$D$304,MATCH(D384,Items!$A$5:$A$304,0)),0)))</f>
        <v>0</v>
      </c>
      <c r="L384" s="35" t="n">
        <f aca="false">ROUND(N(E384)*K384*(1-N(G384)),2)</f>
        <v>0</v>
      </c>
      <c r="M384" s="36" t="n">
        <f aca="false">IF(A384="",0,IFERROR(INDEX(Items!$E$5:$E$304,MATCH(D384,Items!$A$5:$A$304,0)),0))</f>
        <v>0</v>
      </c>
      <c r="N384" s="37" t="str">
        <f aca="false">IF(A384="","",IFERROR(INDEX(Customers!$E$5:$E$204,MATCH(C384,Customers!$A$5:$A$204,0)),"?"))</f>
        <v/>
      </c>
      <c r="O384" s="38" t="str">
        <f aca="false">IF(A384="","",IF(N384=Settings!$B$17,"No","Yes"))</f>
        <v/>
      </c>
      <c r="P384" s="35" t="n">
        <f aca="false">IF(O384="Yes",ROUND(L384*M384,2),0)</f>
        <v>0</v>
      </c>
      <c r="Q384" s="35" t="n">
        <f aca="false">IF(O384="No",ROUND(L384*M384/2,2),0)</f>
        <v>0</v>
      </c>
      <c r="R384" s="35" t="n">
        <f aca="false">Q384</f>
        <v>0</v>
      </c>
      <c r="S384" s="35" t="n">
        <f aca="false">L384+P384+Q384+R384</f>
        <v>0</v>
      </c>
      <c r="T384" s="34" t="str">
        <f aca="false">IF(A384="","",IFERROR(INDEX(Customers!$B$5:$B$204,MATCH(C384,Customers!$A$5:$A$204,0))&amp;"",""))</f>
        <v/>
      </c>
      <c r="U384" s="38" t="str">
        <f aca="false">IF(A384="","",IF(T384&lt;&gt;"","B2B",IF(AND(O384="Yes",SUMIF($A$5:$A$1004,A384,$L$5:$L$1004)+SUMIF($A$5:$A$1004,A384,$P$5:$P$1004)&gt;100000),"B2CL","B2CS")))</f>
        <v/>
      </c>
      <c r="V384" s="17" t="str">
        <f aca="false">IF(A384="","",TEXT(B384,"mmm-yyyy"))</f>
        <v/>
      </c>
    </row>
    <row r="385" customFormat="false" ht="15" hidden="false" customHeight="true" outlineLevel="0" collapsed="false">
      <c r="A385" s="24"/>
      <c r="B385" s="39"/>
      <c r="C385" s="24"/>
      <c r="D385" s="24"/>
      <c r="E385" s="40"/>
      <c r="F385" s="29"/>
      <c r="G385" s="30"/>
      <c r="H385" s="17" t="str">
        <f aca="false">IF(A385="","",A385&amp;"|"&amp;COUNTIF(A$5:A385,A385))</f>
        <v/>
      </c>
      <c r="I385" s="33" t="str">
        <f aca="false">IF(A385="","",IFERROR(INDEX(Items!$B$5:$B$304,MATCH(D385,Items!$A$5:$A$304,0))&amp;"",""))</f>
        <v/>
      </c>
      <c r="J385" s="34" t="str">
        <f aca="false">IF(A385="","",IFERROR(INDEX(Items!$C$5:$C$304,MATCH(D385,Items!$A$5:$A$304,0))&amp;"",""))</f>
        <v/>
      </c>
      <c r="K385" s="35" t="n">
        <f aca="false">IF(A385="",0,IF(ISNUMBER(F385),F385,IFERROR(INDEX(Items!$D$5:$D$304,MATCH(D385,Items!$A$5:$A$304,0)),0)))</f>
        <v>0</v>
      </c>
      <c r="L385" s="35" t="n">
        <f aca="false">ROUND(N(E385)*K385*(1-N(G385)),2)</f>
        <v>0</v>
      </c>
      <c r="M385" s="36" t="n">
        <f aca="false">IF(A385="",0,IFERROR(INDEX(Items!$E$5:$E$304,MATCH(D385,Items!$A$5:$A$304,0)),0))</f>
        <v>0</v>
      </c>
      <c r="N385" s="37" t="str">
        <f aca="false">IF(A385="","",IFERROR(INDEX(Customers!$E$5:$E$204,MATCH(C385,Customers!$A$5:$A$204,0)),"?"))</f>
        <v/>
      </c>
      <c r="O385" s="38" t="str">
        <f aca="false">IF(A385="","",IF(N385=Settings!$B$17,"No","Yes"))</f>
        <v/>
      </c>
      <c r="P385" s="35" t="n">
        <f aca="false">IF(O385="Yes",ROUND(L385*M385,2),0)</f>
        <v>0</v>
      </c>
      <c r="Q385" s="35" t="n">
        <f aca="false">IF(O385="No",ROUND(L385*M385/2,2),0)</f>
        <v>0</v>
      </c>
      <c r="R385" s="35" t="n">
        <f aca="false">Q385</f>
        <v>0</v>
      </c>
      <c r="S385" s="35" t="n">
        <f aca="false">L385+P385+Q385+R385</f>
        <v>0</v>
      </c>
      <c r="T385" s="34" t="str">
        <f aca="false">IF(A385="","",IFERROR(INDEX(Customers!$B$5:$B$204,MATCH(C385,Customers!$A$5:$A$204,0))&amp;"",""))</f>
        <v/>
      </c>
      <c r="U385" s="38" t="str">
        <f aca="false">IF(A385="","",IF(T385&lt;&gt;"","B2B",IF(AND(O385="Yes",SUMIF($A$5:$A$1004,A385,$L$5:$L$1004)+SUMIF($A$5:$A$1004,A385,$P$5:$P$1004)&gt;100000),"B2CL","B2CS")))</f>
        <v/>
      </c>
      <c r="V385" s="17" t="str">
        <f aca="false">IF(A385="","",TEXT(B385,"mmm-yyyy"))</f>
        <v/>
      </c>
    </row>
    <row r="386" customFormat="false" ht="15" hidden="false" customHeight="true" outlineLevel="0" collapsed="false">
      <c r="A386" s="24"/>
      <c r="B386" s="39"/>
      <c r="C386" s="24"/>
      <c r="D386" s="24"/>
      <c r="E386" s="40"/>
      <c r="F386" s="29"/>
      <c r="G386" s="30"/>
      <c r="H386" s="17" t="str">
        <f aca="false">IF(A386="","",A386&amp;"|"&amp;COUNTIF(A$5:A386,A386))</f>
        <v/>
      </c>
      <c r="I386" s="33" t="str">
        <f aca="false">IF(A386="","",IFERROR(INDEX(Items!$B$5:$B$304,MATCH(D386,Items!$A$5:$A$304,0))&amp;"",""))</f>
        <v/>
      </c>
      <c r="J386" s="34" t="str">
        <f aca="false">IF(A386="","",IFERROR(INDEX(Items!$C$5:$C$304,MATCH(D386,Items!$A$5:$A$304,0))&amp;"",""))</f>
        <v/>
      </c>
      <c r="K386" s="35" t="n">
        <f aca="false">IF(A386="",0,IF(ISNUMBER(F386),F386,IFERROR(INDEX(Items!$D$5:$D$304,MATCH(D386,Items!$A$5:$A$304,0)),0)))</f>
        <v>0</v>
      </c>
      <c r="L386" s="35" t="n">
        <f aca="false">ROUND(N(E386)*K386*(1-N(G386)),2)</f>
        <v>0</v>
      </c>
      <c r="M386" s="36" t="n">
        <f aca="false">IF(A386="",0,IFERROR(INDEX(Items!$E$5:$E$304,MATCH(D386,Items!$A$5:$A$304,0)),0))</f>
        <v>0</v>
      </c>
      <c r="N386" s="37" t="str">
        <f aca="false">IF(A386="","",IFERROR(INDEX(Customers!$E$5:$E$204,MATCH(C386,Customers!$A$5:$A$204,0)),"?"))</f>
        <v/>
      </c>
      <c r="O386" s="38" t="str">
        <f aca="false">IF(A386="","",IF(N386=Settings!$B$17,"No","Yes"))</f>
        <v/>
      </c>
      <c r="P386" s="35" t="n">
        <f aca="false">IF(O386="Yes",ROUND(L386*M386,2),0)</f>
        <v>0</v>
      </c>
      <c r="Q386" s="35" t="n">
        <f aca="false">IF(O386="No",ROUND(L386*M386/2,2),0)</f>
        <v>0</v>
      </c>
      <c r="R386" s="35" t="n">
        <f aca="false">Q386</f>
        <v>0</v>
      </c>
      <c r="S386" s="35" t="n">
        <f aca="false">L386+P386+Q386+R386</f>
        <v>0</v>
      </c>
      <c r="T386" s="34" t="str">
        <f aca="false">IF(A386="","",IFERROR(INDEX(Customers!$B$5:$B$204,MATCH(C386,Customers!$A$5:$A$204,0))&amp;"",""))</f>
        <v/>
      </c>
      <c r="U386" s="38" t="str">
        <f aca="false">IF(A386="","",IF(T386&lt;&gt;"","B2B",IF(AND(O386="Yes",SUMIF($A$5:$A$1004,A386,$L$5:$L$1004)+SUMIF($A$5:$A$1004,A386,$P$5:$P$1004)&gt;100000),"B2CL","B2CS")))</f>
        <v/>
      </c>
      <c r="V386" s="17" t="str">
        <f aca="false">IF(A386="","",TEXT(B386,"mmm-yyyy"))</f>
        <v/>
      </c>
    </row>
    <row r="387" customFormat="false" ht="15" hidden="false" customHeight="true" outlineLevel="0" collapsed="false">
      <c r="A387" s="24"/>
      <c r="B387" s="39"/>
      <c r="C387" s="24"/>
      <c r="D387" s="24"/>
      <c r="E387" s="40"/>
      <c r="F387" s="29"/>
      <c r="G387" s="30"/>
      <c r="H387" s="17" t="str">
        <f aca="false">IF(A387="","",A387&amp;"|"&amp;COUNTIF(A$5:A387,A387))</f>
        <v/>
      </c>
      <c r="I387" s="33" t="str">
        <f aca="false">IF(A387="","",IFERROR(INDEX(Items!$B$5:$B$304,MATCH(D387,Items!$A$5:$A$304,0))&amp;"",""))</f>
        <v/>
      </c>
      <c r="J387" s="34" t="str">
        <f aca="false">IF(A387="","",IFERROR(INDEX(Items!$C$5:$C$304,MATCH(D387,Items!$A$5:$A$304,0))&amp;"",""))</f>
        <v/>
      </c>
      <c r="K387" s="35" t="n">
        <f aca="false">IF(A387="",0,IF(ISNUMBER(F387),F387,IFERROR(INDEX(Items!$D$5:$D$304,MATCH(D387,Items!$A$5:$A$304,0)),0)))</f>
        <v>0</v>
      </c>
      <c r="L387" s="35" t="n">
        <f aca="false">ROUND(N(E387)*K387*(1-N(G387)),2)</f>
        <v>0</v>
      </c>
      <c r="M387" s="36" t="n">
        <f aca="false">IF(A387="",0,IFERROR(INDEX(Items!$E$5:$E$304,MATCH(D387,Items!$A$5:$A$304,0)),0))</f>
        <v>0</v>
      </c>
      <c r="N387" s="37" t="str">
        <f aca="false">IF(A387="","",IFERROR(INDEX(Customers!$E$5:$E$204,MATCH(C387,Customers!$A$5:$A$204,0)),"?"))</f>
        <v/>
      </c>
      <c r="O387" s="38" t="str">
        <f aca="false">IF(A387="","",IF(N387=Settings!$B$17,"No","Yes"))</f>
        <v/>
      </c>
      <c r="P387" s="35" t="n">
        <f aca="false">IF(O387="Yes",ROUND(L387*M387,2),0)</f>
        <v>0</v>
      </c>
      <c r="Q387" s="35" t="n">
        <f aca="false">IF(O387="No",ROUND(L387*M387/2,2),0)</f>
        <v>0</v>
      </c>
      <c r="R387" s="35" t="n">
        <f aca="false">Q387</f>
        <v>0</v>
      </c>
      <c r="S387" s="35" t="n">
        <f aca="false">L387+P387+Q387+R387</f>
        <v>0</v>
      </c>
      <c r="T387" s="34" t="str">
        <f aca="false">IF(A387="","",IFERROR(INDEX(Customers!$B$5:$B$204,MATCH(C387,Customers!$A$5:$A$204,0))&amp;"",""))</f>
        <v/>
      </c>
      <c r="U387" s="38" t="str">
        <f aca="false">IF(A387="","",IF(T387&lt;&gt;"","B2B",IF(AND(O387="Yes",SUMIF($A$5:$A$1004,A387,$L$5:$L$1004)+SUMIF($A$5:$A$1004,A387,$P$5:$P$1004)&gt;100000),"B2CL","B2CS")))</f>
        <v/>
      </c>
      <c r="V387" s="17" t="str">
        <f aca="false">IF(A387="","",TEXT(B387,"mmm-yyyy"))</f>
        <v/>
      </c>
    </row>
    <row r="388" customFormat="false" ht="15" hidden="false" customHeight="true" outlineLevel="0" collapsed="false">
      <c r="A388" s="24"/>
      <c r="B388" s="39"/>
      <c r="C388" s="24"/>
      <c r="D388" s="24"/>
      <c r="E388" s="40"/>
      <c r="F388" s="29"/>
      <c r="G388" s="30"/>
      <c r="H388" s="17" t="str">
        <f aca="false">IF(A388="","",A388&amp;"|"&amp;COUNTIF(A$5:A388,A388))</f>
        <v/>
      </c>
      <c r="I388" s="33" t="str">
        <f aca="false">IF(A388="","",IFERROR(INDEX(Items!$B$5:$B$304,MATCH(D388,Items!$A$5:$A$304,0))&amp;"",""))</f>
        <v/>
      </c>
      <c r="J388" s="34" t="str">
        <f aca="false">IF(A388="","",IFERROR(INDEX(Items!$C$5:$C$304,MATCH(D388,Items!$A$5:$A$304,0))&amp;"",""))</f>
        <v/>
      </c>
      <c r="K388" s="35" t="n">
        <f aca="false">IF(A388="",0,IF(ISNUMBER(F388),F388,IFERROR(INDEX(Items!$D$5:$D$304,MATCH(D388,Items!$A$5:$A$304,0)),0)))</f>
        <v>0</v>
      </c>
      <c r="L388" s="35" t="n">
        <f aca="false">ROUND(N(E388)*K388*(1-N(G388)),2)</f>
        <v>0</v>
      </c>
      <c r="M388" s="36" t="n">
        <f aca="false">IF(A388="",0,IFERROR(INDEX(Items!$E$5:$E$304,MATCH(D388,Items!$A$5:$A$304,0)),0))</f>
        <v>0</v>
      </c>
      <c r="N388" s="37" t="str">
        <f aca="false">IF(A388="","",IFERROR(INDEX(Customers!$E$5:$E$204,MATCH(C388,Customers!$A$5:$A$204,0)),"?"))</f>
        <v/>
      </c>
      <c r="O388" s="38" t="str">
        <f aca="false">IF(A388="","",IF(N388=Settings!$B$17,"No","Yes"))</f>
        <v/>
      </c>
      <c r="P388" s="35" t="n">
        <f aca="false">IF(O388="Yes",ROUND(L388*M388,2),0)</f>
        <v>0</v>
      </c>
      <c r="Q388" s="35" t="n">
        <f aca="false">IF(O388="No",ROUND(L388*M388/2,2),0)</f>
        <v>0</v>
      </c>
      <c r="R388" s="35" t="n">
        <f aca="false">Q388</f>
        <v>0</v>
      </c>
      <c r="S388" s="35" t="n">
        <f aca="false">L388+P388+Q388+R388</f>
        <v>0</v>
      </c>
      <c r="T388" s="34" t="str">
        <f aca="false">IF(A388="","",IFERROR(INDEX(Customers!$B$5:$B$204,MATCH(C388,Customers!$A$5:$A$204,0))&amp;"",""))</f>
        <v/>
      </c>
      <c r="U388" s="38" t="str">
        <f aca="false">IF(A388="","",IF(T388&lt;&gt;"","B2B",IF(AND(O388="Yes",SUMIF($A$5:$A$1004,A388,$L$5:$L$1004)+SUMIF($A$5:$A$1004,A388,$P$5:$P$1004)&gt;100000),"B2CL","B2CS")))</f>
        <v/>
      </c>
      <c r="V388" s="17" t="str">
        <f aca="false">IF(A388="","",TEXT(B388,"mmm-yyyy"))</f>
        <v/>
      </c>
    </row>
    <row r="389" customFormat="false" ht="15" hidden="false" customHeight="true" outlineLevel="0" collapsed="false">
      <c r="A389" s="24"/>
      <c r="B389" s="39"/>
      <c r="C389" s="24"/>
      <c r="D389" s="24"/>
      <c r="E389" s="40"/>
      <c r="F389" s="29"/>
      <c r="G389" s="30"/>
      <c r="H389" s="17" t="str">
        <f aca="false">IF(A389="","",A389&amp;"|"&amp;COUNTIF(A$5:A389,A389))</f>
        <v/>
      </c>
      <c r="I389" s="33" t="str">
        <f aca="false">IF(A389="","",IFERROR(INDEX(Items!$B$5:$B$304,MATCH(D389,Items!$A$5:$A$304,0))&amp;"",""))</f>
        <v/>
      </c>
      <c r="J389" s="34" t="str">
        <f aca="false">IF(A389="","",IFERROR(INDEX(Items!$C$5:$C$304,MATCH(D389,Items!$A$5:$A$304,0))&amp;"",""))</f>
        <v/>
      </c>
      <c r="K389" s="35" t="n">
        <f aca="false">IF(A389="",0,IF(ISNUMBER(F389),F389,IFERROR(INDEX(Items!$D$5:$D$304,MATCH(D389,Items!$A$5:$A$304,0)),0)))</f>
        <v>0</v>
      </c>
      <c r="L389" s="35" t="n">
        <f aca="false">ROUND(N(E389)*K389*(1-N(G389)),2)</f>
        <v>0</v>
      </c>
      <c r="M389" s="36" t="n">
        <f aca="false">IF(A389="",0,IFERROR(INDEX(Items!$E$5:$E$304,MATCH(D389,Items!$A$5:$A$304,0)),0))</f>
        <v>0</v>
      </c>
      <c r="N389" s="37" t="str">
        <f aca="false">IF(A389="","",IFERROR(INDEX(Customers!$E$5:$E$204,MATCH(C389,Customers!$A$5:$A$204,0)),"?"))</f>
        <v/>
      </c>
      <c r="O389" s="38" t="str">
        <f aca="false">IF(A389="","",IF(N389=Settings!$B$17,"No","Yes"))</f>
        <v/>
      </c>
      <c r="P389" s="35" t="n">
        <f aca="false">IF(O389="Yes",ROUND(L389*M389,2),0)</f>
        <v>0</v>
      </c>
      <c r="Q389" s="35" t="n">
        <f aca="false">IF(O389="No",ROUND(L389*M389/2,2),0)</f>
        <v>0</v>
      </c>
      <c r="R389" s="35" t="n">
        <f aca="false">Q389</f>
        <v>0</v>
      </c>
      <c r="S389" s="35" t="n">
        <f aca="false">L389+P389+Q389+R389</f>
        <v>0</v>
      </c>
      <c r="T389" s="34" t="str">
        <f aca="false">IF(A389="","",IFERROR(INDEX(Customers!$B$5:$B$204,MATCH(C389,Customers!$A$5:$A$204,0))&amp;"",""))</f>
        <v/>
      </c>
      <c r="U389" s="38" t="str">
        <f aca="false">IF(A389="","",IF(T389&lt;&gt;"","B2B",IF(AND(O389="Yes",SUMIF($A$5:$A$1004,A389,$L$5:$L$1004)+SUMIF($A$5:$A$1004,A389,$P$5:$P$1004)&gt;100000),"B2CL","B2CS")))</f>
        <v/>
      </c>
      <c r="V389" s="17" t="str">
        <f aca="false">IF(A389="","",TEXT(B389,"mmm-yyyy"))</f>
        <v/>
      </c>
    </row>
    <row r="390" customFormat="false" ht="15" hidden="false" customHeight="true" outlineLevel="0" collapsed="false">
      <c r="A390" s="24"/>
      <c r="B390" s="39"/>
      <c r="C390" s="24"/>
      <c r="D390" s="24"/>
      <c r="E390" s="40"/>
      <c r="F390" s="29"/>
      <c r="G390" s="30"/>
      <c r="H390" s="17" t="str">
        <f aca="false">IF(A390="","",A390&amp;"|"&amp;COUNTIF(A$5:A390,A390))</f>
        <v/>
      </c>
      <c r="I390" s="33" t="str">
        <f aca="false">IF(A390="","",IFERROR(INDEX(Items!$B$5:$B$304,MATCH(D390,Items!$A$5:$A$304,0))&amp;"",""))</f>
        <v/>
      </c>
      <c r="J390" s="34" t="str">
        <f aca="false">IF(A390="","",IFERROR(INDEX(Items!$C$5:$C$304,MATCH(D390,Items!$A$5:$A$304,0))&amp;"",""))</f>
        <v/>
      </c>
      <c r="K390" s="35" t="n">
        <f aca="false">IF(A390="",0,IF(ISNUMBER(F390),F390,IFERROR(INDEX(Items!$D$5:$D$304,MATCH(D390,Items!$A$5:$A$304,0)),0)))</f>
        <v>0</v>
      </c>
      <c r="L390" s="35" t="n">
        <f aca="false">ROUND(N(E390)*K390*(1-N(G390)),2)</f>
        <v>0</v>
      </c>
      <c r="M390" s="36" t="n">
        <f aca="false">IF(A390="",0,IFERROR(INDEX(Items!$E$5:$E$304,MATCH(D390,Items!$A$5:$A$304,0)),0))</f>
        <v>0</v>
      </c>
      <c r="N390" s="37" t="str">
        <f aca="false">IF(A390="","",IFERROR(INDEX(Customers!$E$5:$E$204,MATCH(C390,Customers!$A$5:$A$204,0)),"?"))</f>
        <v/>
      </c>
      <c r="O390" s="38" t="str">
        <f aca="false">IF(A390="","",IF(N390=Settings!$B$17,"No","Yes"))</f>
        <v/>
      </c>
      <c r="P390" s="35" t="n">
        <f aca="false">IF(O390="Yes",ROUND(L390*M390,2),0)</f>
        <v>0</v>
      </c>
      <c r="Q390" s="35" t="n">
        <f aca="false">IF(O390="No",ROUND(L390*M390/2,2),0)</f>
        <v>0</v>
      </c>
      <c r="R390" s="35" t="n">
        <f aca="false">Q390</f>
        <v>0</v>
      </c>
      <c r="S390" s="35" t="n">
        <f aca="false">L390+P390+Q390+R390</f>
        <v>0</v>
      </c>
      <c r="T390" s="34" t="str">
        <f aca="false">IF(A390="","",IFERROR(INDEX(Customers!$B$5:$B$204,MATCH(C390,Customers!$A$5:$A$204,0))&amp;"",""))</f>
        <v/>
      </c>
      <c r="U390" s="38" t="str">
        <f aca="false">IF(A390="","",IF(T390&lt;&gt;"","B2B",IF(AND(O390="Yes",SUMIF($A$5:$A$1004,A390,$L$5:$L$1004)+SUMIF($A$5:$A$1004,A390,$P$5:$P$1004)&gt;100000),"B2CL","B2CS")))</f>
        <v/>
      </c>
      <c r="V390" s="17" t="str">
        <f aca="false">IF(A390="","",TEXT(B390,"mmm-yyyy"))</f>
        <v/>
      </c>
    </row>
    <row r="391" customFormat="false" ht="15" hidden="false" customHeight="true" outlineLevel="0" collapsed="false">
      <c r="A391" s="24"/>
      <c r="B391" s="39"/>
      <c r="C391" s="24"/>
      <c r="D391" s="24"/>
      <c r="E391" s="40"/>
      <c r="F391" s="29"/>
      <c r="G391" s="30"/>
      <c r="H391" s="17" t="str">
        <f aca="false">IF(A391="","",A391&amp;"|"&amp;COUNTIF(A$5:A391,A391))</f>
        <v/>
      </c>
      <c r="I391" s="33" t="str">
        <f aca="false">IF(A391="","",IFERROR(INDEX(Items!$B$5:$B$304,MATCH(D391,Items!$A$5:$A$304,0))&amp;"",""))</f>
        <v/>
      </c>
      <c r="J391" s="34" t="str">
        <f aca="false">IF(A391="","",IFERROR(INDEX(Items!$C$5:$C$304,MATCH(D391,Items!$A$5:$A$304,0))&amp;"",""))</f>
        <v/>
      </c>
      <c r="K391" s="35" t="n">
        <f aca="false">IF(A391="",0,IF(ISNUMBER(F391),F391,IFERROR(INDEX(Items!$D$5:$D$304,MATCH(D391,Items!$A$5:$A$304,0)),0)))</f>
        <v>0</v>
      </c>
      <c r="L391" s="35" t="n">
        <f aca="false">ROUND(N(E391)*K391*(1-N(G391)),2)</f>
        <v>0</v>
      </c>
      <c r="M391" s="36" t="n">
        <f aca="false">IF(A391="",0,IFERROR(INDEX(Items!$E$5:$E$304,MATCH(D391,Items!$A$5:$A$304,0)),0))</f>
        <v>0</v>
      </c>
      <c r="N391" s="37" t="str">
        <f aca="false">IF(A391="","",IFERROR(INDEX(Customers!$E$5:$E$204,MATCH(C391,Customers!$A$5:$A$204,0)),"?"))</f>
        <v/>
      </c>
      <c r="O391" s="38" t="str">
        <f aca="false">IF(A391="","",IF(N391=Settings!$B$17,"No","Yes"))</f>
        <v/>
      </c>
      <c r="P391" s="35" t="n">
        <f aca="false">IF(O391="Yes",ROUND(L391*M391,2),0)</f>
        <v>0</v>
      </c>
      <c r="Q391" s="35" t="n">
        <f aca="false">IF(O391="No",ROUND(L391*M391/2,2),0)</f>
        <v>0</v>
      </c>
      <c r="R391" s="35" t="n">
        <f aca="false">Q391</f>
        <v>0</v>
      </c>
      <c r="S391" s="35" t="n">
        <f aca="false">L391+P391+Q391+R391</f>
        <v>0</v>
      </c>
      <c r="T391" s="34" t="str">
        <f aca="false">IF(A391="","",IFERROR(INDEX(Customers!$B$5:$B$204,MATCH(C391,Customers!$A$5:$A$204,0))&amp;"",""))</f>
        <v/>
      </c>
      <c r="U391" s="38" t="str">
        <f aca="false">IF(A391="","",IF(T391&lt;&gt;"","B2B",IF(AND(O391="Yes",SUMIF($A$5:$A$1004,A391,$L$5:$L$1004)+SUMIF($A$5:$A$1004,A391,$P$5:$P$1004)&gt;100000),"B2CL","B2CS")))</f>
        <v/>
      </c>
      <c r="V391" s="17" t="str">
        <f aca="false">IF(A391="","",TEXT(B391,"mmm-yyyy"))</f>
        <v/>
      </c>
    </row>
    <row r="392" customFormat="false" ht="15" hidden="false" customHeight="true" outlineLevel="0" collapsed="false">
      <c r="A392" s="24"/>
      <c r="B392" s="39"/>
      <c r="C392" s="24"/>
      <c r="D392" s="24"/>
      <c r="E392" s="40"/>
      <c r="F392" s="29"/>
      <c r="G392" s="30"/>
      <c r="H392" s="17" t="str">
        <f aca="false">IF(A392="","",A392&amp;"|"&amp;COUNTIF(A$5:A392,A392))</f>
        <v/>
      </c>
      <c r="I392" s="33" t="str">
        <f aca="false">IF(A392="","",IFERROR(INDEX(Items!$B$5:$B$304,MATCH(D392,Items!$A$5:$A$304,0))&amp;"",""))</f>
        <v/>
      </c>
      <c r="J392" s="34" t="str">
        <f aca="false">IF(A392="","",IFERROR(INDEX(Items!$C$5:$C$304,MATCH(D392,Items!$A$5:$A$304,0))&amp;"",""))</f>
        <v/>
      </c>
      <c r="K392" s="35" t="n">
        <f aca="false">IF(A392="",0,IF(ISNUMBER(F392),F392,IFERROR(INDEX(Items!$D$5:$D$304,MATCH(D392,Items!$A$5:$A$304,0)),0)))</f>
        <v>0</v>
      </c>
      <c r="L392" s="35" t="n">
        <f aca="false">ROUND(N(E392)*K392*(1-N(G392)),2)</f>
        <v>0</v>
      </c>
      <c r="M392" s="36" t="n">
        <f aca="false">IF(A392="",0,IFERROR(INDEX(Items!$E$5:$E$304,MATCH(D392,Items!$A$5:$A$304,0)),0))</f>
        <v>0</v>
      </c>
      <c r="N392" s="37" t="str">
        <f aca="false">IF(A392="","",IFERROR(INDEX(Customers!$E$5:$E$204,MATCH(C392,Customers!$A$5:$A$204,0)),"?"))</f>
        <v/>
      </c>
      <c r="O392" s="38" t="str">
        <f aca="false">IF(A392="","",IF(N392=Settings!$B$17,"No","Yes"))</f>
        <v/>
      </c>
      <c r="P392" s="35" t="n">
        <f aca="false">IF(O392="Yes",ROUND(L392*M392,2),0)</f>
        <v>0</v>
      </c>
      <c r="Q392" s="35" t="n">
        <f aca="false">IF(O392="No",ROUND(L392*M392/2,2),0)</f>
        <v>0</v>
      </c>
      <c r="R392" s="35" t="n">
        <f aca="false">Q392</f>
        <v>0</v>
      </c>
      <c r="S392" s="35" t="n">
        <f aca="false">L392+P392+Q392+R392</f>
        <v>0</v>
      </c>
      <c r="T392" s="34" t="str">
        <f aca="false">IF(A392="","",IFERROR(INDEX(Customers!$B$5:$B$204,MATCH(C392,Customers!$A$5:$A$204,0))&amp;"",""))</f>
        <v/>
      </c>
      <c r="U392" s="38" t="str">
        <f aca="false">IF(A392="","",IF(T392&lt;&gt;"","B2B",IF(AND(O392="Yes",SUMIF($A$5:$A$1004,A392,$L$5:$L$1004)+SUMIF($A$5:$A$1004,A392,$P$5:$P$1004)&gt;100000),"B2CL","B2CS")))</f>
        <v/>
      </c>
      <c r="V392" s="17" t="str">
        <f aca="false">IF(A392="","",TEXT(B392,"mmm-yyyy"))</f>
        <v/>
      </c>
    </row>
    <row r="393" customFormat="false" ht="15" hidden="false" customHeight="true" outlineLevel="0" collapsed="false">
      <c r="A393" s="24"/>
      <c r="B393" s="39"/>
      <c r="C393" s="24"/>
      <c r="D393" s="24"/>
      <c r="E393" s="40"/>
      <c r="F393" s="29"/>
      <c r="G393" s="30"/>
      <c r="H393" s="17" t="str">
        <f aca="false">IF(A393="","",A393&amp;"|"&amp;COUNTIF(A$5:A393,A393))</f>
        <v/>
      </c>
      <c r="I393" s="33" t="str">
        <f aca="false">IF(A393="","",IFERROR(INDEX(Items!$B$5:$B$304,MATCH(D393,Items!$A$5:$A$304,0))&amp;"",""))</f>
        <v/>
      </c>
      <c r="J393" s="34" t="str">
        <f aca="false">IF(A393="","",IFERROR(INDEX(Items!$C$5:$C$304,MATCH(D393,Items!$A$5:$A$304,0))&amp;"",""))</f>
        <v/>
      </c>
      <c r="K393" s="35" t="n">
        <f aca="false">IF(A393="",0,IF(ISNUMBER(F393),F393,IFERROR(INDEX(Items!$D$5:$D$304,MATCH(D393,Items!$A$5:$A$304,0)),0)))</f>
        <v>0</v>
      </c>
      <c r="L393" s="35" t="n">
        <f aca="false">ROUND(N(E393)*K393*(1-N(G393)),2)</f>
        <v>0</v>
      </c>
      <c r="M393" s="36" t="n">
        <f aca="false">IF(A393="",0,IFERROR(INDEX(Items!$E$5:$E$304,MATCH(D393,Items!$A$5:$A$304,0)),0))</f>
        <v>0</v>
      </c>
      <c r="N393" s="37" t="str">
        <f aca="false">IF(A393="","",IFERROR(INDEX(Customers!$E$5:$E$204,MATCH(C393,Customers!$A$5:$A$204,0)),"?"))</f>
        <v/>
      </c>
      <c r="O393" s="38" t="str">
        <f aca="false">IF(A393="","",IF(N393=Settings!$B$17,"No","Yes"))</f>
        <v/>
      </c>
      <c r="P393" s="35" t="n">
        <f aca="false">IF(O393="Yes",ROUND(L393*M393,2),0)</f>
        <v>0</v>
      </c>
      <c r="Q393" s="35" t="n">
        <f aca="false">IF(O393="No",ROUND(L393*M393/2,2),0)</f>
        <v>0</v>
      </c>
      <c r="R393" s="35" t="n">
        <f aca="false">Q393</f>
        <v>0</v>
      </c>
      <c r="S393" s="35" t="n">
        <f aca="false">L393+P393+Q393+R393</f>
        <v>0</v>
      </c>
      <c r="T393" s="34" t="str">
        <f aca="false">IF(A393="","",IFERROR(INDEX(Customers!$B$5:$B$204,MATCH(C393,Customers!$A$5:$A$204,0))&amp;"",""))</f>
        <v/>
      </c>
      <c r="U393" s="38" t="str">
        <f aca="false">IF(A393="","",IF(T393&lt;&gt;"","B2B",IF(AND(O393="Yes",SUMIF($A$5:$A$1004,A393,$L$5:$L$1004)+SUMIF($A$5:$A$1004,A393,$P$5:$P$1004)&gt;100000),"B2CL","B2CS")))</f>
        <v/>
      </c>
      <c r="V393" s="17" t="str">
        <f aca="false">IF(A393="","",TEXT(B393,"mmm-yyyy"))</f>
        <v/>
      </c>
    </row>
    <row r="394" customFormat="false" ht="15" hidden="false" customHeight="true" outlineLevel="0" collapsed="false">
      <c r="A394" s="24"/>
      <c r="B394" s="39"/>
      <c r="C394" s="24"/>
      <c r="D394" s="24"/>
      <c r="E394" s="40"/>
      <c r="F394" s="29"/>
      <c r="G394" s="30"/>
      <c r="H394" s="17" t="str">
        <f aca="false">IF(A394="","",A394&amp;"|"&amp;COUNTIF(A$5:A394,A394))</f>
        <v/>
      </c>
      <c r="I394" s="33" t="str">
        <f aca="false">IF(A394="","",IFERROR(INDEX(Items!$B$5:$B$304,MATCH(D394,Items!$A$5:$A$304,0))&amp;"",""))</f>
        <v/>
      </c>
      <c r="J394" s="34" t="str">
        <f aca="false">IF(A394="","",IFERROR(INDEX(Items!$C$5:$C$304,MATCH(D394,Items!$A$5:$A$304,0))&amp;"",""))</f>
        <v/>
      </c>
      <c r="K394" s="35" t="n">
        <f aca="false">IF(A394="",0,IF(ISNUMBER(F394),F394,IFERROR(INDEX(Items!$D$5:$D$304,MATCH(D394,Items!$A$5:$A$304,0)),0)))</f>
        <v>0</v>
      </c>
      <c r="L394" s="35" t="n">
        <f aca="false">ROUND(N(E394)*K394*(1-N(G394)),2)</f>
        <v>0</v>
      </c>
      <c r="M394" s="36" t="n">
        <f aca="false">IF(A394="",0,IFERROR(INDEX(Items!$E$5:$E$304,MATCH(D394,Items!$A$5:$A$304,0)),0))</f>
        <v>0</v>
      </c>
      <c r="N394" s="37" t="str">
        <f aca="false">IF(A394="","",IFERROR(INDEX(Customers!$E$5:$E$204,MATCH(C394,Customers!$A$5:$A$204,0)),"?"))</f>
        <v/>
      </c>
      <c r="O394" s="38" t="str">
        <f aca="false">IF(A394="","",IF(N394=Settings!$B$17,"No","Yes"))</f>
        <v/>
      </c>
      <c r="P394" s="35" t="n">
        <f aca="false">IF(O394="Yes",ROUND(L394*M394,2),0)</f>
        <v>0</v>
      </c>
      <c r="Q394" s="35" t="n">
        <f aca="false">IF(O394="No",ROUND(L394*M394/2,2),0)</f>
        <v>0</v>
      </c>
      <c r="R394" s="35" t="n">
        <f aca="false">Q394</f>
        <v>0</v>
      </c>
      <c r="S394" s="35" t="n">
        <f aca="false">L394+P394+Q394+R394</f>
        <v>0</v>
      </c>
      <c r="T394" s="34" t="str">
        <f aca="false">IF(A394="","",IFERROR(INDEX(Customers!$B$5:$B$204,MATCH(C394,Customers!$A$5:$A$204,0))&amp;"",""))</f>
        <v/>
      </c>
      <c r="U394" s="38" t="str">
        <f aca="false">IF(A394="","",IF(T394&lt;&gt;"","B2B",IF(AND(O394="Yes",SUMIF($A$5:$A$1004,A394,$L$5:$L$1004)+SUMIF($A$5:$A$1004,A394,$P$5:$P$1004)&gt;100000),"B2CL","B2CS")))</f>
        <v/>
      </c>
      <c r="V394" s="17" t="str">
        <f aca="false">IF(A394="","",TEXT(B394,"mmm-yyyy"))</f>
        <v/>
      </c>
    </row>
    <row r="395" customFormat="false" ht="15" hidden="false" customHeight="true" outlineLevel="0" collapsed="false">
      <c r="A395" s="24"/>
      <c r="B395" s="39"/>
      <c r="C395" s="24"/>
      <c r="D395" s="24"/>
      <c r="E395" s="40"/>
      <c r="F395" s="29"/>
      <c r="G395" s="30"/>
      <c r="H395" s="17" t="str">
        <f aca="false">IF(A395="","",A395&amp;"|"&amp;COUNTIF(A$5:A395,A395))</f>
        <v/>
      </c>
      <c r="I395" s="33" t="str">
        <f aca="false">IF(A395="","",IFERROR(INDEX(Items!$B$5:$B$304,MATCH(D395,Items!$A$5:$A$304,0))&amp;"",""))</f>
        <v/>
      </c>
      <c r="J395" s="34" t="str">
        <f aca="false">IF(A395="","",IFERROR(INDEX(Items!$C$5:$C$304,MATCH(D395,Items!$A$5:$A$304,0))&amp;"",""))</f>
        <v/>
      </c>
      <c r="K395" s="35" t="n">
        <f aca="false">IF(A395="",0,IF(ISNUMBER(F395),F395,IFERROR(INDEX(Items!$D$5:$D$304,MATCH(D395,Items!$A$5:$A$304,0)),0)))</f>
        <v>0</v>
      </c>
      <c r="L395" s="35" t="n">
        <f aca="false">ROUND(N(E395)*K395*(1-N(G395)),2)</f>
        <v>0</v>
      </c>
      <c r="M395" s="36" t="n">
        <f aca="false">IF(A395="",0,IFERROR(INDEX(Items!$E$5:$E$304,MATCH(D395,Items!$A$5:$A$304,0)),0))</f>
        <v>0</v>
      </c>
      <c r="N395" s="37" t="str">
        <f aca="false">IF(A395="","",IFERROR(INDEX(Customers!$E$5:$E$204,MATCH(C395,Customers!$A$5:$A$204,0)),"?"))</f>
        <v/>
      </c>
      <c r="O395" s="38" t="str">
        <f aca="false">IF(A395="","",IF(N395=Settings!$B$17,"No","Yes"))</f>
        <v/>
      </c>
      <c r="P395" s="35" t="n">
        <f aca="false">IF(O395="Yes",ROUND(L395*M395,2),0)</f>
        <v>0</v>
      </c>
      <c r="Q395" s="35" t="n">
        <f aca="false">IF(O395="No",ROUND(L395*M395/2,2),0)</f>
        <v>0</v>
      </c>
      <c r="R395" s="35" t="n">
        <f aca="false">Q395</f>
        <v>0</v>
      </c>
      <c r="S395" s="35" t="n">
        <f aca="false">L395+P395+Q395+R395</f>
        <v>0</v>
      </c>
      <c r="T395" s="34" t="str">
        <f aca="false">IF(A395="","",IFERROR(INDEX(Customers!$B$5:$B$204,MATCH(C395,Customers!$A$5:$A$204,0))&amp;"",""))</f>
        <v/>
      </c>
      <c r="U395" s="38" t="str">
        <f aca="false">IF(A395="","",IF(T395&lt;&gt;"","B2B",IF(AND(O395="Yes",SUMIF($A$5:$A$1004,A395,$L$5:$L$1004)+SUMIF($A$5:$A$1004,A395,$P$5:$P$1004)&gt;100000),"B2CL","B2CS")))</f>
        <v/>
      </c>
      <c r="V395" s="17" t="str">
        <f aca="false">IF(A395="","",TEXT(B395,"mmm-yyyy"))</f>
        <v/>
      </c>
    </row>
    <row r="396" customFormat="false" ht="15" hidden="false" customHeight="true" outlineLevel="0" collapsed="false">
      <c r="A396" s="24"/>
      <c r="B396" s="39"/>
      <c r="C396" s="24"/>
      <c r="D396" s="24"/>
      <c r="E396" s="40"/>
      <c r="F396" s="29"/>
      <c r="G396" s="30"/>
      <c r="H396" s="17" t="str">
        <f aca="false">IF(A396="","",A396&amp;"|"&amp;COUNTIF(A$5:A396,A396))</f>
        <v/>
      </c>
      <c r="I396" s="33" t="str">
        <f aca="false">IF(A396="","",IFERROR(INDEX(Items!$B$5:$B$304,MATCH(D396,Items!$A$5:$A$304,0))&amp;"",""))</f>
        <v/>
      </c>
      <c r="J396" s="34" t="str">
        <f aca="false">IF(A396="","",IFERROR(INDEX(Items!$C$5:$C$304,MATCH(D396,Items!$A$5:$A$304,0))&amp;"",""))</f>
        <v/>
      </c>
      <c r="K396" s="35" t="n">
        <f aca="false">IF(A396="",0,IF(ISNUMBER(F396),F396,IFERROR(INDEX(Items!$D$5:$D$304,MATCH(D396,Items!$A$5:$A$304,0)),0)))</f>
        <v>0</v>
      </c>
      <c r="L396" s="35" t="n">
        <f aca="false">ROUND(N(E396)*K396*(1-N(G396)),2)</f>
        <v>0</v>
      </c>
      <c r="M396" s="36" t="n">
        <f aca="false">IF(A396="",0,IFERROR(INDEX(Items!$E$5:$E$304,MATCH(D396,Items!$A$5:$A$304,0)),0))</f>
        <v>0</v>
      </c>
      <c r="N396" s="37" t="str">
        <f aca="false">IF(A396="","",IFERROR(INDEX(Customers!$E$5:$E$204,MATCH(C396,Customers!$A$5:$A$204,0)),"?"))</f>
        <v/>
      </c>
      <c r="O396" s="38" t="str">
        <f aca="false">IF(A396="","",IF(N396=Settings!$B$17,"No","Yes"))</f>
        <v/>
      </c>
      <c r="P396" s="35" t="n">
        <f aca="false">IF(O396="Yes",ROUND(L396*M396,2),0)</f>
        <v>0</v>
      </c>
      <c r="Q396" s="35" t="n">
        <f aca="false">IF(O396="No",ROUND(L396*M396/2,2),0)</f>
        <v>0</v>
      </c>
      <c r="R396" s="35" t="n">
        <f aca="false">Q396</f>
        <v>0</v>
      </c>
      <c r="S396" s="35" t="n">
        <f aca="false">L396+P396+Q396+R396</f>
        <v>0</v>
      </c>
      <c r="T396" s="34" t="str">
        <f aca="false">IF(A396="","",IFERROR(INDEX(Customers!$B$5:$B$204,MATCH(C396,Customers!$A$5:$A$204,0))&amp;"",""))</f>
        <v/>
      </c>
      <c r="U396" s="38" t="str">
        <f aca="false">IF(A396="","",IF(T396&lt;&gt;"","B2B",IF(AND(O396="Yes",SUMIF($A$5:$A$1004,A396,$L$5:$L$1004)+SUMIF($A$5:$A$1004,A396,$P$5:$P$1004)&gt;100000),"B2CL","B2CS")))</f>
        <v/>
      </c>
      <c r="V396" s="17" t="str">
        <f aca="false">IF(A396="","",TEXT(B396,"mmm-yyyy"))</f>
        <v/>
      </c>
    </row>
    <row r="397" customFormat="false" ht="15" hidden="false" customHeight="true" outlineLevel="0" collapsed="false">
      <c r="A397" s="24"/>
      <c r="B397" s="39"/>
      <c r="C397" s="24"/>
      <c r="D397" s="24"/>
      <c r="E397" s="40"/>
      <c r="F397" s="29"/>
      <c r="G397" s="30"/>
      <c r="H397" s="17" t="str">
        <f aca="false">IF(A397="","",A397&amp;"|"&amp;COUNTIF(A$5:A397,A397))</f>
        <v/>
      </c>
      <c r="I397" s="33" t="str">
        <f aca="false">IF(A397="","",IFERROR(INDEX(Items!$B$5:$B$304,MATCH(D397,Items!$A$5:$A$304,0))&amp;"",""))</f>
        <v/>
      </c>
      <c r="J397" s="34" t="str">
        <f aca="false">IF(A397="","",IFERROR(INDEX(Items!$C$5:$C$304,MATCH(D397,Items!$A$5:$A$304,0))&amp;"",""))</f>
        <v/>
      </c>
      <c r="K397" s="35" t="n">
        <f aca="false">IF(A397="",0,IF(ISNUMBER(F397),F397,IFERROR(INDEX(Items!$D$5:$D$304,MATCH(D397,Items!$A$5:$A$304,0)),0)))</f>
        <v>0</v>
      </c>
      <c r="L397" s="35" t="n">
        <f aca="false">ROUND(N(E397)*K397*(1-N(G397)),2)</f>
        <v>0</v>
      </c>
      <c r="M397" s="36" t="n">
        <f aca="false">IF(A397="",0,IFERROR(INDEX(Items!$E$5:$E$304,MATCH(D397,Items!$A$5:$A$304,0)),0))</f>
        <v>0</v>
      </c>
      <c r="N397" s="37" t="str">
        <f aca="false">IF(A397="","",IFERROR(INDEX(Customers!$E$5:$E$204,MATCH(C397,Customers!$A$5:$A$204,0)),"?"))</f>
        <v/>
      </c>
      <c r="O397" s="38" t="str">
        <f aca="false">IF(A397="","",IF(N397=Settings!$B$17,"No","Yes"))</f>
        <v/>
      </c>
      <c r="P397" s="35" t="n">
        <f aca="false">IF(O397="Yes",ROUND(L397*M397,2),0)</f>
        <v>0</v>
      </c>
      <c r="Q397" s="35" t="n">
        <f aca="false">IF(O397="No",ROUND(L397*M397/2,2),0)</f>
        <v>0</v>
      </c>
      <c r="R397" s="35" t="n">
        <f aca="false">Q397</f>
        <v>0</v>
      </c>
      <c r="S397" s="35" t="n">
        <f aca="false">L397+P397+Q397+R397</f>
        <v>0</v>
      </c>
      <c r="T397" s="34" t="str">
        <f aca="false">IF(A397="","",IFERROR(INDEX(Customers!$B$5:$B$204,MATCH(C397,Customers!$A$5:$A$204,0))&amp;"",""))</f>
        <v/>
      </c>
      <c r="U397" s="38" t="str">
        <f aca="false">IF(A397="","",IF(T397&lt;&gt;"","B2B",IF(AND(O397="Yes",SUMIF($A$5:$A$1004,A397,$L$5:$L$1004)+SUMIF($A$5:$A$1004,A397,$P$5:$P$1004)&gt;100000),"B2CL","B2CS")))</f>
        <v/>
      </c>
      <c r="V397" s="17" t="str">
        <f aca="false">IF(A397="","",TEXT(B397,"mmm-yyyy"))</f>
        <v/>
      </c>
    </row>
    <row r="398" customFormat="false" ht="15" hidden="false" customHeight="true" outlineLevel="0" collapsed="false">
      <c r="A398" s="24"/>
      <c r="B398" s="39"/>
      <c r="C398" s="24"/>
      <c r="D398" s="24"/>
      <c r="E398" s="40"/>
      <c r="F398" s="29"/>
      <c r="G398" s="30"/>
      <c r="H398" s="17" t="str">
        <f aca="false">IF(A398="","",A398&amp;"|"&amp;COUNTIF(A$5:A398,A398))</f>
        <v/>
      </c>
      <c r="I398" s="33" t="str">
        <f aca="false">IF(A398="","",IFERROR(INDEX(Items!$B$5:$B$304,MATCH(D398,Items!$A$5:$A$304,0))&amp;"",""))</f>
        <v/>
      </c>
      <c r="J398" s="34" t="str">
        <f aca="false">IF(A398="","",IFERROR(INDEX(Items!$C$5:$C$304,MATCH(D398,Items!$A$5:$A$304,0))&amp;"",""))</f>
        <v/>
      </c>
      <c r="K398" s="35" t="n">
        <f aca="false">IF(A398="",0,IF(ISNUMBER(F398),F398,IFERROR(INDEX(Items!$D$5:$D$304,MATCH(D398,Items!$A$5:$A$304,0)),0)))</f>
        <v>0</v>
      </c>
      <c r="L398" s="35" t="n">
        <f aca="false">ROUND(N(E398)*K398*(1-N(G398)),2)</f>
        <v>0</v>
      </c>
      <c r="M398" s="36" t="n">
        <f aca="false">IF(A398="",0,IFERROR(INDEX(Items!$E$5:$E$304,MATCH(D398,Items!$A$5:$A$304,0)),0))</f>
        <v>0</v>
      </c>
      <c r="N398" s="37" t="str">
        <f aca="false">IF(A398="","",IFERROR(INDEX(Customers!$E$5:$E$204,MATCH(C398,Customers!$A$5:$A$204,0)),"?"))</f>
        <v/>
      </c>
      <c r="O398" s="38" t="str">
        <f aca="false">IF(A398="","",IF(N398=Settings!$B$17,"No","Yes"))</f>
        <v/>
      </c>
      <c r="P398" s="35" t="n">
        <f aca="false">IF(O398="Yes",ROUND(L398*M398,2),0)</f>
        <v>0</v>
      </c>
      <c r="Q398" s="35" t="n">
        <f aca="false">IF(O398="No",ROUND(L398*M398/2,2),0)</f>
        <v>0</v>
      </c>
      <c r="R398" s="35" t="n">
        <f aca="false">Q398</f>
        <v>0</v>
      </c>
      <c r="S398" s="35" t="n">
        <f aca="false">L398+P398+Q398+R398</f>
        <v>0</v>
      </c>
      <c r="T398" s="34" t="str">
        <f aca="false">IF(A398="","",IFERROR(INDEX(Customers!$B$5:$B$204,MATCH(C398,Customers!$A$5:$A$204,0))&amp;"",""))</f>
        <v/>
      </c>
      <c r="U398" s="38" t="str">
        <f aca="false">IF(A398="","",IF(T398&lt;&gt;"","B2B",IF(AND(O398="Yes",SUMIF($A$5:$A$1004,A398,$L$5:$L$1004)+SUMIF($A$5:$A$1004,A398,$P$5:$P$1004)&gt;100000),"B2CL","B2CS")))</f>
        <v/>
      </c>
      <c r="V398" s="17" t="str">
        <f aca="false">IF(A398="","",TEXT(B398,"mmm-yyyy"))</f>
        <v/>
      </c>
    </row>
    <row r="399" customFormat="false" ht="15" hidden="false" customHeight="true" outlineLevel="0" collapsed="false">
      <c r="A399" s="24"/>
      <c r="B399" s="39"/>
      <c r="C399" s="24"/>
      <c r="D399" s="24"/>
      <c r="E399" s="40"/>
      <c r="F399" s="29"/>
      <c r="G399" s="30"/>
      <c r="H399" s="17" t="str">
        <f aca="false">IF(A399="","",A399&amp;"|"&amp;COUNTIF(A$5:A399,A399))</f>
        <v/>
      </c>
      <c r="I399" s="33" t="str">
        <f aca="false">IF(A399="","",IFERROR(INDEX(Items!$B$5:$B$304,MATCH(D399,Items!$A$5:$A$304,0))&amp;"",""))</f>
        <v/>
      </c>
      <c r="J399" s="34" t="str">
        <f aca="false">IF(A399="","",IFERROR(INDEX(Items!$C$5:$C$304,MATCH(D399,Items!$A$5:$A$304,0))&amp;"",""))</f>
        <v/>
      </c>
      <c r="K399" s="35" t="n">
        <f aca="false">IF(A399="",0,IF(ISNUMBER(F399),F399,IFERROR(INDEX(Items!$D$5:$D$304,MATCH(D399,Items!$A$5:$A$304,0)),0)))</f>
        <v>0</v>
      </c>
      <c r="L399" s="35" t="n">
        <f aca="false">ROUND(N(E399)*K399*(1-N(G399)),2)</f>
        <v>0</v>
      </c>
      <c r="M399" s="36" t="n">
        <f aca="false">IF(A399="",0,IFERROR(INDEX(Items!$E$5:$E$304,MATCH(D399,Items!$A$5:$A$304,0)),0))</f>
        <v>0</v>
      </c>
      <c r="N399" s="37" t="str">
        <f aca="false">IF(A399="","",IFERROR(INDEX(Customers!$E$5:$E$204,MATCH(C399,Customers!$A$5:$A$204,0)),"?"))</f>
        <v/>
      </c>
      <c r="O399" s="38" t="str">
        <f aca="false">IF(A399="","",IF(N399=Settings!$B$17,"No","Yes"))</f>
        <v/>
      </c>
      <c r="P399" s="35" t="n">
        <f aca="false">IF(O399="Yes",ROUND(L399*M399,2),0)</f>
        <v>0</v>
      </c>
      <c r="Q399" s="35" t="n">
        <f aca="false">IF(O399="No",ROUND(L399*M399/2,2),0)</f>
        <v>0</v>
      </c>
      <c r="R399" s="35" t="n">
        <f aca="false">Q399</f>
        <v>0</v>
      </c>
      <c r="S399" s="35" t="n">
        <f aca="false">L399+P399+Q399+R399</f>
        <v>0</v>
      </c>
      <c r="T399" s="34" t="str">
        <f aca="false">IF(A399="","",IFERROR(INDEX(Customers!$B$5:$B$204,MATCH(C399,Customers!$A$5:$A$204,0))&amp;"",""))</f>
        <v/>
      </c>
      <c r="U399" s="38" t="str">
        <f aca="false">IF(A399="","",IF(T399&lt;&gt;"","B2B",IF(AND(O399="Yes",SUMIF($A$5:$A$1004,A399,$L$5:$L$1004)+SUMIF($A$5:$A$1004,A399,$P$5:$P$1004)&gt;100000),"B2CL","B2CS")))</f>
        <v/>
      </c>
      <c r="V399" s="17" t="str">
        <f aca="false">IF(A399="","",TEXT(B399,"mmm-yyyy"))</f>
        <v/>
      </c>
    </row>
    <row r="400" customFormat="false" ht="15" hidden="false" customHeight="true" outlineLevel="0" collapsed="false">
      <c r="A400" s="24"/>
      <c r="B400" s="39"/>
      <c r="C400" s="24"/>
      <c r="D400" s="24"/>
      <c r="E400" s="40"/>
      <c r="F400" s="29"/>
      <c r="G400" s="30"/>
      <c r="H400" s="17" t="str">
        <f aca="false">IF(A400="","",A400&amp;"|"&amp;COUNTIF(A$5:A400,A400))</f>
        <v/>
      </c>
      <c r="I400" s="33" t="str">
        <f aca="false">IF(A400="","",IFERROR(INDEX(Items!$B$5:$B$304,MATCH(D400,Items!$A$5:$A$304,0))&amp;"",""))</f>
        <v/>
      </c>
      <c r="J400" s="34" t="str">
        <f aca="false">IF(A400="","",IFERROR(INDEX(Items!$C$5:$C$304,MATCH(D400,Items!$A$5:$A$304,0))&amp;"",""))</f>
        <v/>
      </c>
      <c r="K400" s="35" t="n">
        <f aca="false">IF(A400="",0,IF(ISNUMBER(F400),F400,IFERROR(INDEX(Items!$D$5:$D$304,MATCH(D400,Items!$A$5:$A$304,0)),0)))</f>
        <v>0</v>
      </c>
      <c r="L400" s="35" t="n">
        <f aca="false">ROUND(N(E400)*K400*(1-N(G400)),2)</f>
        <v>0</v>
      </c>
      <c r="M400" s="36" t="n">
        <f aca="false">IF(A400="",0,IFERROR(INDEX(Items!$E$5:$E$304,MATCH(D400,Items!$A$5:$A$304,0)),0))</f>
        <v>0</v>
      </c>
      <c r="N400" s="37" t="str">
        <f aca="false">IF(A400="","",IFERROR(INDEX(Customers!$E$5:$E$204,MATCH(C400,Customers!$A$5:$A$204,0)),"?"))</f>
        <v/>
      </c>
      <c r="O400" s="38" t="str">
        <f aca="false">IF(A400="","",IF(N400=Settings!$B$17,"No","Yes"))</f>
        <v/>
      </c>
      <c r="P400" s="35" t="n">
        <f aca="false">IF(O400="Yes",ROUND(L400*M400,2),0)</f>
        <v>0</v>
      </c>
      <c r="Q400" s="35" t="n">
        <f aca="false">IF(O400="No",ROUND(L400*M400/2,2),0)</f>
        <v>0</v>
      </c>
      <c r="R400" s="35" t="n">
        <f aca="false">Q400</f>
        <v>0</v>
      </c>
      <c r="S400" s="35" t="n">
        <f aca="false">L400+P400+Q400+R400</f>
        <v>0</v>
      </c>
      <c r="T400" s="34" t="str">
        <f aca="false">IF(A400="","",IFERROR(INDEX(Customers!$B$5:$B$204,MATCH(C400,Customers!$A$5:$A$204,0))&amp;"",""))</f>
        <v/>
      </c>
      <c r="U400" s="38" t="str">
        <f aca="false">IF(A400="","",IF(T400&lt;&gt;"","B2B",IF(AND(O400="Yes",SUMIF($A$5:$A$1004,A400,$L$5:$L$1004)+SUMIF($A$5:$A$1004,A400,$P$5:$P$1004)&gt;100000),"B2CL","B2CS")))</f>
        <v/>
      </c>
      <c r="V400" s="17" t="str">
        <f aca="false">IF(A400="","",TEXT(B400,"mmm-yyyy"))</f>
        <v/>
      </c>
    </row>
    <row r="401" customFormat="false" ht="15" hidden="false" customHeight="true" outlineLevel="0" collapsed="false">
      <c r="A401" s="24"/>
      <c r="B401" s="39"/>
      <c r="C401" s="24"/>
      <c r="D401" s="24"/>
      <c r="E401" s="40"/>
      <c r="F401" s="29"/>
      <c r="G401" s="30"/>
      <c r="H401" s="17" t="str">
        <f aca="false">IF(A401="","",A401&amp;"|"&amp;COUNTIF(A$5:A401,A401))</f>
        <v/>
      </c>
      <c r="I401" s="33" t="str">
        <f aca="false">IF(A401="","",IFERROR(INDEX(Items!$B$5:$B$304,MATCH(D401,Items!$A$5:$A$304,0))&amp;"",""))</f>
        <v/>
      </c>
      <c r="J401" s="34" t="str">
        <f aca="false">IF(A401="","",IFERROR(INDEX(Items!$C$5:$C$304,MATCH(D401,Items!$A$5:$A$304,0))&amp;"",""))</f>
        <v/>
      </c>
      <c r="K401" s="35" t="n">
        <f aca="false">IF(A401="",0,IF(ISNUMBER(F401),F401,IFERROR(INDEX(Items!$D$5:$D$304,MATCH(D401,Items!$A$5:$A$304,0)),0)))</f>
        <v>0</v>
      </c>
      <c r="L401" s="35" t="n">
        <f aca="false">ROUND(N(E401)*K401*(1-N(G401)),2)</f>
        <v>0</v>
      </c>
      <c r="M401" s="36" t="n">
        <f aca="false">IF(A401="",0,IFERROR(INDEX(Items!$E$5:$E$304,MATCH(D401,Items!$A$5:$A$304,0)),0))</f>
        <v>0</v>
      </c>
      <c r="N401" s="37" t="str">
        <f aca="false">IF(A401="","",IFERROR(INDEX(Customers!$E$5:$E$204,MATCH(C401,Customers!$A$5:$A$204,0)),"?"))</f>
        <v/>
      </c>
      <c r="O401" s="38" t="str">
        <f aca="false">IF(A401="","",IF(N401=Settings!$B$17,"No","Yes"))</f>
        <v/>
      </c>
      <c r="P401" s="35" t="n">
        <f aca="false">IF(O401="Yes",ROUND(L401*M401,2),0)</f>
        <v>0</v>
      </c>
      <c r="Q401" s="35" t="n">
        <f aca="false">IF(O401="No",ROUND(L401*M401/2,2),0)</f>
        <v>0</v>
      </c>
      <c r="R401" s="35" t="n">
        <f aca="false">Q401</f>
        <v>0</v>
      </c>
      <c r="S401" s="35" t="n">
        <f aca="false">L401+P401+Q401+R401</f>
        <v>0</v>
      </c>
      <c r="T401" s="34" t="str">
        <f aca="false">IF(A401="","",IFERROR(INDEX(Customers!$B$5:$B$204,MATCH(C401,Customers!$A$5:$A$204,0))&amp;"",""))</f>
        <v/>
      </c>
      <c r="U401" s="38" t="str">
        <f aca="false">IF(A401="","",IF(T401&lt;&gt;"","B2B",IF(AND(O401="Yes",SUMIF($A$5:$A$1004,A401,$L$5:$L$1004)+SUMIF($A$5:$A$1004,A401,$P$5:$P$1004)&gt;100000),"B2CL","B2CS")))</f>
        <v/>
      </c>
      <c r="V401" s="17" t="str">
        <f aca="false">IF(A401="","",TEXT(B401,"mmm-yyyy"))</f>
        <v/>
      </c>
    </row>
    <row r="402" customFormat="false" ht="15" hidden="false" customHeight="true" outlineLevel="0" collapsed="false">
      <c r="A402" s="24"/>
      <c r="B402" s="39"/>
      <c r="C402" s="24"/>
      <c r="D402" s="24"/>
      <c r="E402" s="40"/>
      <c r="F402" s="29"/>
      <c r="G402" s="30"/>
      <c r="H402" s="17" t="str">
        <f aca="false">IF(A402="","",A402&amp;"|"&amp;COUNTIF(A$5:A402,A402))</f>
        <v/>
      </c>
      <c r="I402" s="33" t="str">
        <f aca="false">IF(A402="","",IFERROR(INDEX(Items!$B$5:$B$304,MATCH(D402,Items!$A$5:$A$304,0))&amp;"",""))</f>
        <v/>
      </c>
      <c r="J402" s="34" t="str">
        <f aca="false">IF(A402="","",IFERROR(INDEX(Items!$C$5:$C$304,MATCH(D402,Items!$A$5:$A$304,0))&amp;"",""))</f>
        <v/>
      </c>
      <c r="K402" s="35" t="n">
        <f aca="false">IF(A402="",0,IF(ISNUMBER(F402),F402,IFERROR(INDEX(Items!$D$5:$D$304,MATCH(D402,Items!$A$5:$A$304,0)),0)))</f>
        <v>0</v>
      </c>
      <c r="L402" s="35" t="n">
        <f aca="false">ROUND(N(E402)*K402*(1-N(G402)),2)</f>
        <v>0</v>
      </c>
      <c r="M402" s="36" t="n">
        <f aca="false">IF(A402="",0,IFERROR(INDEX(Items!$E$5:$E$304,MATCH(D402,Items!$A$5:$A$304,0)),0))</f>
        <v>0</v>
      </c>
      <c r="N402" s="37" t="str">
        <f aca="false">IF(A402="","",IFERROR(INDEX(Customers!$E$5:$E$204,MATCH(C402,Customers!$A$5:$A$204,0)),"?"))</f>
        <v/>
      </c>
      <c r="O402" s="38" t="str">
        <f aca="false">IF(A402="","",IF(N402=Settings!$B$17,"No","Yes"))</f>
        <v/>
      </c>
      <c r="P402" s="35" t="n">
        <f aca="false">IF(O402="Yes",ROUND(L402*M402,2),0)</f>
        <v>0</v>
      </c>
      <c r="Q402" s="35" t="n">
        <f aca="false">IF(O402="No",ROUND(L402*M402/2,2),0)</f>
        <v>0</v>
      </c>
      <c r="R402" s="35" t="n">
        <f aca="false">Q402</f>
        <v>0</v>
      </c>
      <c r="S402" s="35" t="n">
        <f aca="false">L402+P402+Q402+R402</f>
        <v>0</v>
      </c>
      <c r="T402" s="34" t="str">
        <f aca="false">IF(A402="","",IFERROR(INDEX(Customers!$B$5:$B$204,MATCH(C402,Customers!$A$5:$A$204,0))&amp;"",""))</f>
        <v/>
      </c>
      <c r="U402" s="38" t="str">
        <f aca="false">IF(A402="","",IF(T402&lt;&gt;"","B2B",IF(AND(O402="Yes",SUMIF($A$5:$A$1004,A402,$L$5:$L$1004)+SUMIF($A$5:$A$1004,A402,$P$5:$P$1004)&gt;100000),"B2CL","B2CS")))</f>
        <v/>
      </c>
      <c r="V402" s="17" t="str">
        <f aca="false">IF(A402="","",TEXT(B402,"mmm-yyyy"))</f>
        <v/>
      </c>
    </row>
    <row r="403" customFormat="false" ht="15" hidden="false" customHeight="true" outlineLevel="0" collapsed="false">
      <c r="A403" s="24"/>
      <c r="B403" s="39"/>
      <c r="C403" s="24"/>
      <c r="D403" s="24"/>
      <c r="E403" s="40"/>
      <c r="F403" s="29"/>
      <c r="G403" s="30"/>
      <c r="H403" s="17" t="str">
        <f aca="false">IF(A403="","",A403&amp;"|"&amp;COUNTIF(A$5:A403,A403))</f>
        <v/>
      </c>
      <c r="I403" s="33" t="str">
        <f aca="false">IF(A403="","",IFERROR(INDEX(Items!$B$5:$B$304,MATCH(D403,Items!$A$5:$A$304,0))&amp;"",""))</f>
        <v/>
      </c>
      <c r="J403" s="34" t="str">
        <f aca="false">IF(A403="","",IFERROR(INDEX(Items!$C$5:$C$304,MATCH(D403,Items!$A$5:$A$304,0))&amp;"",""))</f>
        <v/>
      </c>
      <c r="K403" s="35" t="n">
        <f aca="false">IF(A403="",0,IF(ISNUMBER(F403),F403,IFERROR(INDEX(Items!$D$5:$D$304,MATCH(D403,Items!$A$5:$A$304,0)),0)))</f>
        <v>0</v>
      </c>
      <c r="L403" s="35" t="n">
        <f aca="false">ROUND(N(E403)*K403*(1-N(G403)),2)</f>
        <v>0</v>
      </c>
      <c r="M403" s="36" t="n">
        <f aca="false">IF(A403="",0,IFERROR(INDEX(Items!$E$5:$E$304,MATCH(D403,Items!$A$5:$A$304,0)),0))</f>
        <v>0</v>
      </c>
      <c r="N403" s="37" t="str">
        <f aca="false">IF(A403="","",IFERROR(INDEX(Customers!$E$5:$E$204,MATCH(C403,Customers!$A$5:$A$204,0)),"?"))</f>
        <v/>
      </c>
      <c r="O403" s="38" t="str">
        <f aca="false">IF(A403="","",IF(N403=Settings!$B$17,"No","Yes"))</f>
        <v/>
      </c>
      <c r="P403" s="35" t="n">
        <f aca="false">IF(O403="Yes",ROUND(L403*M403,2),0)</f>
        <v>0</v>
      </c>
      <c r="Q403" s="35" t="n">
        <f aca="false">IF(O403="No",ROUND(L403*M403/2,2),0)</f>
        <v>0</v>
      </c>
      <c r="R403" s="35" t="n">
        <f aca="false">Q403</f>
        <v>0</v>
      </c>
      <c r="S403" s="35" t="n">
        <f aca="false">L403+P403+Q403+R403</f>
        <v>0</v>
      </c>
      <c r="T403" s="34" t="str">
        <f aca="false">IF(A403="","",IFERROR(INDEX(Customers!$B$5:$B$204,MATCH(C403,Customers!$A$5:$A$204,0))&amp;"",""))</f>
        <v/>
      </c>
      <c r="U403" s="38" t="str">
        <f aca="false">IF(A403="","",IF(T403&lt;&gt;"","B2B",IF(AND(O403="Yes",SUMIF($A$5:$A$1004,A403,$L$5:$L$1004)+SUMIF($A$5:$A$1004,A403,$P$5:$P$1004)&gt;100000),"B2CL","B2CS")))</f>
        <v/>
      </c>
      <c r="V403" s="17" t="str">
        <f aca="false">IF(A403="","",TEXT(B403,"mmm-yyyy"))</f>
        <v/>
      </c>
    </row>
    <row r="404" customFormat="false" ht="15" hidden="false" customHeight="true" outlineLevel="0" collapsed="false">
      <c r="A404" s="24"/>
      <c r="B404" s="39"/>
      <c r="C404" s="24"/>
      <c r="D404" s="24"/>
      <c r="E404" s="40"/>
      <c r="F404" s="29"/>
      <c r="G404" s="30"/>
      <c r="H404" s="17" t="str">
        <f aca="false">IF(A404="","",A404&amp;"|"&amp;COUNTIF(A$5:A404,A404))</f>
        <v/>
      </c>
      <c r="I404" s="33" t="str">
        <f aca="false">IF(A404="","",IFERROR(INDEX(Items!$B$5:$B$304,MATCH(D404,Items!$A$5:$A$304,0))&amp;"",""))</f>
        <v/>
      </c>
      <c r="J404" s="34" t="str">
        <f aca="false">IF(A404="","",IFERROR(INDEX(Items!$C$5:$C$304,MATCH(D404,Items!$A$5:$A$304,0))&amp;"",""))</f>
        <v/>
      </c>
      <c r="K404" s="35" t="n">
        <f aca="false">IF(A404="",0,IF(ISNUMBER(F404),F404,IFERROR(INDEX(Items!$D$5:$D$304,MATCH(D404,Items!$A$5:$A$304,0)),0)))</f>
        <v>0</v>
      </c>
      <c r="L404" s="35" t="n">
        <f aca="false">ROUND(N(E404)*K404*(1-N(G404)),2)</f>
        <v>0</v>
      </c>
      <c r="M404" s="36" t="n">
        <f aca="false">IF(A404="",0,IFERROR(INDEX(Items!$E$5:$E$304,MATCH(D404,Items!$A$5:$A$304,0)),0))</f>
        <v>0</v>
      </c>
      <c r="N404" s="37" t="str">
        <f aca="false">IF(A404="","",IFERROR(INDEX(Customers!$E$5:$E$204,MATCH(C404,Customers!$A$5:$A$204,0)),"?"))</f>
        <v/>
      </c>
      <c r="O404" s="38" t="str">
        <f aca="false">IF(A404="","",IF(N404=Settings!$B$17,"No","Yes"))</f>
        <v/>
      </c>
      <c r="P404" s="35" t="n">
        <f aca="false">IF(O404="Yes",ROUND(L404*M404,2),0)</f>
        <v>0</v>
      </c>
      <c r="Q404" s="35" t="n">
        <f aca="false">IF(O404="No",ROUND(L404*M404/2,2),0)</f>
        <v>0</v>
      </c>
      <c r="R404" s="35" t="n">
        <f aca="false">Q404</f>
        <v>0</v>
      </c>
      <c r="S404" s="35" t="n">
        <f aca="false">L404+P404+Q404+R404</f>
        <v>0</v>
      </c>
      <c r="T404" s="34" t="str">
        <f aca="false">IF(A404="","",IFERROR(INDEX(Customers!$B$5:$B$204,MATCH(C404,Customers!$A$5:$A$204,0))&amp;"",""))</f>
        <v/>
      </c>
      <c r="U404" s="38" t="str">
        <f aca="false">IF(A404="","",IF(T404&lt;&gt;"","B2B",IF(AND(O404="Yes",SUMIF($A$5:$A$1004,A404,$L$5:$L$1004)+SUMIF($A$5:$A$1004,A404,$P$5:$P$1004)&gt;100000),"B2CL","B2CS")))</f>
        <v/>
      </c>
      <c r="V404" s="17" t="str">
        <f aca="false">IF(A404="","",TEXT(B404,"mmm-yyyy"))</f>
        <v/>
      </c>
    </row>
    <row r="405" customFormat="false" ht="15" hidden="false" customHeight="true" outlineLevel="0" collapsed="false">
      <c r="A405" s="24"/>
      <c r="B405" s="39"/>
      <c r="C405" s="24"/>
      <c r="D405" s="24"/>
      <c r="E405" s="40"/>
      <c r="F405" s="29"/>
      <c r="G405" s="30"/>
      <c r="H405" s="17" t="str">
        <f aca="false">IF(A405="","",A405&amp;"|"&amp;COUNTIF(A$5:A405,A405))</f>
        <v/>
      </c>
      <c r="I405" s="33" t="str">
        <f aca="false">IF(A405="","",IFERROR(INDEX(Items!$B$5:$B$304,MATCH(D405,Items!$A$5:$A$304,0))&amp;"",""))</f>
        <v/>
      </c>
      <c r="J405" s="34" t="str">
        <f aca="false">IF(A405="","",IFERROR(INDEX(Items!$C$5:$C$304,MATCH(D405,Items!$A$5:$A$304,0))&amp;"",""))</f>
        <v/>
      </c>
      <c r="K405" s="35" t="n">
        <f aca="false">IF(A405="",0,IF(ISNUMBER(F405),F405,IFERROR(INDEX(Items!$D$5:$D$304,MATCH(D405,Items!$A$5:$A$304,0)),0)))</f>
        <v>0</v>
      </c>
      <c r="L405" s="35" t="n">
        <f aca="false">ROUND(N(E405)*K405*(1-N(G405)),2)</f>
        <v>0</v>
      </c>
      <c r="M405" s="36" t="n">
        <f aca="false">IF(A405="",0,IFERROR(INDEX(Items!$E$5:$E$304,MATCH(D405,Items!$A$5:$A$304,0)),0))</f>
        <v>0</v>
      </c>
      <c r="N405" s="37" t="str">
        <f aca="false">IF(A405="","",IFERROR(INDEX(Customers!$E$5:$E$204,MATCH(C405,Customers!$A$5:$A$204,0)),"?"))</f>
        <v/>
      </c>
      <c r="O405" s="38" t="str">
        <f aca="false">IF(A405="","",IF(N405=Settings!$B$17,"No","Yes"))</f>
        <v/>
      </c>
      <c r="P405" s="35" t="n">
        <f aca="false">IF(O405="Yes",ROUND(L405*M405,2),0)</f>
        <v>0</v>
      </c>
      <c r="Q405" s="35" t="n">
        <f aca="false">IF(O405="No",ROUND(L405*M405/2,2),0)</f>
        <v>0</v>
      </c>
      <c r="R405" s="35" t="n">
        <f aca="false">Q405</f>
        <v>0</v>
      </c>
      <c r="S405" s="35" t="n">
        <f aca="false">L405+P405+Q405+R405</f>
        <v>0</v>
      </c>
      <c r="T405" s="34" t="str">
        <f aca="false">IF(A405="","",IFERROR(INDEX(Customers!$B$5:$B$204,MATCH(C405,Customers!$A$5:$A$204,0))&amp;"",""))</f>
        <v/>
      </c>
      <c r="U405" s="38" t="str">
        <f aca="false">IF(A405="","",IF(T405&lt;&gt;"","B2B",IF(AND(O405="Yes",SUMIF($A$5:$A$1004,A405,$L$5:$L$1004)+SUMIF($A$5:$A$1004,A405,$P$5:$P$1004)&gt;100000),"B2CL","B2CS")))</f>
        <v/>
      </c>
      <c r="V405" s="17" t="str">
        <f aca="false">IF(A405="","",TEXT(B405,"mmm-yyyy"))</f>
        <v/>
      </c>
    </row>
    <row r="406" customFormat="false" ht="15" hidden="false" customHeight="true" outlineLevel="0" collapsed="false">
      <c r="A406" s="24"/>
      <c r="B406" s="39"/>
      <c r="C406" s="24"/>
      <c r="D406" s="24"/>
      <c r="E406" s="40"/>
      <c r="F406" s="29"/>
      <c r="G406" s="30"/>
      <c r="H406" s="17" t="str">
        <f aca="false">IF(A406="","",A406&amp;"|"&amp;COUNTIF(A$5:A406,A406))</f>
        <v/>
      </c>
      <c r="I406" s="33" t="str">
        <f aca="false">IF(A406="","",IFERROR(INDEX(Items!$B$5:$B$304,MATCH(D406,Items!$A$5:$A$304,0))&amp;"",""))</f>
        <v/>
      </c>
      <c r="J406" s="34" t="str">
        <f aca="false">IF(A406="","",IFERROR(INDEX(Items!$C$5:$C$304,MATCH(D406,Items!$A$5:$A$304,0))&amp;"",""))</f>
        <v/>
      </c>
      <c r="K406" s="35" t="n">
        <f aca="false">IF(A406="",0,IF(ISNUMBER(F406),F406,IFERROR(INDEX(Items!$D$5:$D$304,MATCH(D406,Items!$A$5:$A$304,0)),0)))</f>
        <v>0</v>
      </c>
      <c r="L406" s="35" t="n">
        <f aca="false">ROUND(N(E406)*K406*(1-N(G406)),2)</f>
        <v>0</v>
      </c>
      <c r="M406" s="36" t="n">
        <f aca="false">IF(A406="",0,IFERROR(INDEX(Items!$E$5:$E$304,MATCH(D406,Items!$A$5:$A$304,0)),0))</f>
        <v>0</v>
      </c>
      <c r="N406" s="37" t="str">
        <f aca="false">IF(A406="","",IFERROR(INDEX(Customers!$E$5:$E$204,MATCH(C406,Customers!$A$5:$A$204,0)),"?"))</f>
        <v/>
      </c>
      <c r="O406" s="38" t="str">
        <f aca="false">IF(A406="","",IF(N406=Settings!$B$17,"No","Yes"))</f>
        <v/>
      </c>
      <c r="P406" s="35" t="n">
        <f aca="false">IF(O406="Yes",ROUND(L406*M406,2),0)</f>
        <v>0</v>
      </c>
      <c r="Q406" s="35" t="n">
        <f aca="false">IF(O406="No",ROUND(L406*M406/2,2),0)</f>
        <v>0</v>
      </c>
      <c r="R406" s="35" t="n">
        <f aca="false">Q406</f>
        <v>0</v>
      </c>
      <c r="S406" s="35" t="n">
        <f aca="false">L406+P406+Q406+R406</f>
        <v>0</v>
      </c>
      <c r="T406" s="34" t="str">
        <f aca="false">IF(A406="","",IFERROR(INDEX(Customers!$B$5:$B$204,MATCH(C406,Customers!$A$5:$A$204,0))&amp;"",""))</f>
        <v/>
      </c>
      <c r="U406" s="38" t="str">
        <f aca="false">IF(A406="","",IF(T406&lt;&gt;"","B2B",IF(AND(O406="Yes",SUMIF($A$5:$A$1004,A406,$L$5:$L$1004)+SUMIF($A$5:$A$1004,A406,$P$5:$P$1004)&gt;100000),"B2CL","B2CS")))</f>
        <v/>
      </c>
      <c r="V406" s="17" t="str">
        <f aca="false">IF(A406="","",TEXT(B406,"mmm-yyyy"))</f>
        <v/>
      </c>
    </row>
    <row r="407" customFormat="false" ht="15" hidden="false" customHeight="true" outlineLevel="0" collapsed="false">
      <c r="A407" s="24"/>
      <c r="B407" s="39"/>
      <c r="C407" s="24"/>
      <c r="D407" s="24"/>
      <c r="E407" s="40"/>
      <c r="F407" s="29"/>
      <c r="G407" s="30"/>
      <c r="H407" s="17" t="str">
        <f aca="false">IF(A407="","",A407&amp;"|"&amp;COUNTIF(A$5:A407,A407))</f>
        <v/>
      </c>
      <c r="I407" s="33" t="str">
        <f aca="false">IF(A407="","",IFERROR(INDEX(Items!$B$5:$B$304,MATCH(D407,Items!$A$5:$A$304,0))&amp;"",""))</f>
        <v/>
      </c>
      <c r="J407" s="34" t="str">
        <f aca="false">IF(A407="","",IFERROR(INDEX(Items!$C$5:$C$304,MATCH(D407,Items!$A$5:$A$304,0))&amp;"",""))</f>
        <v/>
      </c>
      <c r="K407" s="35" t="n">
        <f aca="false">IF(A407="",0,IF(ISNUMBER(F407),F407,IFERROR(INDEX(Items!$D$5:$D$304,MATCH(D407,Items!$A$5:$A$304,0)),0)))</f>
        <v>0</v>
      </c>
      <c r="L407" s="35" t="n">
        <f aca="false">ROUND(N(E407)*K407*(1-N(G407)),2)</f>
        <v>0</v>
      </c>
      <c r="M407" s="36" t="n">
        <f aca="false">IF(A407="",0,IFERROR(INDEX(Items!$E$5:$E$304,MATCH(D407,Items!$A$5:$A$304,0)),0))</f>
        <v>0</v>
      </c>
      <c r="N407" s="37" t="str">
        <f aca="false">IF(A407="","",IFERROR(INDEX(Customers!$E$5:$E$204,MATCH(C407,Customers!$A$5:$A$204,0)),"?"))</f>
        <v/>
      </c>
      <c r="O407" s="38" t="str">
        <f aca="false">IF(A407="","",IF(N407=Settings!$B$17,"No","Yes"))</f>
        <v/>
      </c>
      <c r="P407" s="35" t="n">
        <f aca="false">IF(O407="Yes",ROUND(L407*M407,2),0)</f>
        <v>0</v>
      </c>
      <c r="Q407" s="35" t="n">
        <f aca="false">IF(O407="No",ROUND(L407*M407/2,2),0)</f>
        <v>0</v>
      </c>
      <c r="R407" s="35" t="n">
        <f aca="false">Q407</f>
        <v>0</v>
      </c>
      <c r="S407" s="35" t="n">
        <f aca="false">L407+P407+Q407+R407</f>
        <v>0</v>
      </c>
      <c r="T407" s="34" t="str">
        <f aca="false">IF(A407="","",IFERROR(INDEX(Customers!$B$5:$B$204,MATCH(C407,Customers!$A$5:$A$204,0))&amp;"",""))</f>
        <v/>
      </c>
      <c r="U407" s="38" t="str">
        <f aca="false">IF(A407="","",IF(T407&lt;&gt;"","B2B",IF(AND(O407="Yes",SUMIF($A$5:$A$1004,A407,$L$5:$L$1004)+SUMIF($A$5:$A$1004,A407,$P$5:$P$1004)&gt;100000),"B2CL","B2CS")))</f>
        <v/>
      </c>
      <c r="V407" s="17" t="str">
        <f aca="false">IF(A407="","",TEXT(B407,"mmm-yyyy"))</f>
        <v/>
      </c>
    </row>
    <row r="408" customFormat="false" ht="15" hidden="false" customHeight="true" outlineLevel="0" collapsed="false">
      <c r="A408" s="24"/>
      <c r="B408" s="39"/>
      <c r="C408" s="24"/>
      <c r="D408" s="24"/>
      <c r="E408" s="40"/>
      <c r="F408" s="29"/>
      <c r="G408" s="30"/>
      <c r="H408" s="17" t="str">
        <f aca="false">IF(A408="","",A408&amp;"|"&amp;COUNTIF(A$5:A408,A408))</f>
        <v/>
      </c>
      <c r="I408" s="33" t="str">
        <f aca="false">IF(A408="","",IFERROR(INDEX(Items!$B$5:$B$304,MATCH(D408,Items!$A$5:$A$304,0))&amp;"",""))</f>
        <v/>
      </c>
      <c r="J408" s="34" t="str">
        <f aca="false">IF(A408="","",IFERROR(INDEX(Items!$C$5:$C$304,MATCH(D408,Items!$A$5:$A$304,0))&amp;"",""))</f>
        <v/>
      </c>
      <c r="K408" s="35" t="n">
        <f aca="false">IF(A408="",0,IF(ISNUMBER(F408),F408,IFERROR(INDEX(Items!$D$5:$D$304,MATCH(D408,Items!$A$5:$A$304,0)),0)))</f>
        <v>0</v>
      </c>
      <c r="L408" s="35" t="n">
        <f aca="false">ROUND(N(E408)*K408*(1-N(G408)),2)</f>
        <v>0</v>
      </c>
      <c r="M408" s="36" t="n">
        <f aca="false">IF(A408="",0,IFERROR(INDEX(Items!$E$5:$E$304,MATCH(D408,Items!$A$5:$A$304,0)),0))</f>
        <v>0</v>
      </c>
      <c r="N408" s="37" t="str">
        <f aca="false">IF(A408="","",IFERROR(INDEX(Customers!$E$5:$E$204,MATCH(C408,Customers!$A$5:$A$204,0)),"?"))</f>
        <v/>
      </c>
      <c r="O408" s="38" t="str">
        <f aca="false">IF(A408="","",IF(N408=Settings!$B$17,"No","Yes"))</f>
        <v/>
      </c>
      <c r="P408" s="35" t="n">
        <f aca="false">IF(O408="Yes",ROUND(L408*M408,2),0)</f>
        <v>0</v>
      </c>
      <c r="Q408" s="35" t="n">
        <f aca="false">IF(O408="No",ROUND(L408*M408/2,2),0)</f>
        <v>0</v>
      </c>
      <c r="R408" s="35" t="n">
        <f aca="false">Q408</f>
        <v>0</v>
      </c>
      <c r="S408" s="35" t="n">
        <f aca="false">L408+P408+Q408+R408</f>
        <v>0</v>
      </c>
      <c r="T408" s="34" t="str">
        <f aca="false">IF(A408="","",IFERROR(INDEX(Customers!$B$5:$B$204,MATCH(C408,Customers!$A$5:$A$204,0))&amp;"",""))</f>
        <v/>
      </c>
      <c r="U408" s="38" t="str">
        <f aca="false">IF(A408="","",IF(T408&lt;&gt;"","B2B",IF(AND(O408="Yes",SUMIF($A$5:$A$1004,A408,$L$5:$L$1004)+SUMIF($A$5:$A$1004,A408,$P$5:$P$1004)&gt;100000),"B2CL","B2CS")))</f>
        <v/>
      </c>
      <c r="V408" s="17" t="str">
        <f aca="false">IF(A408="","",TEXT(B408,"mmm-yyyy"))</f>
        <v/>
      </c>
    </row>
    <row r="409" customFormat="false" ht="15" hidden="false" customHeight="true" outlineLevel="0" collapsed="false">
      <c r="A409" s="24"/>
      <c r="B409" s="39"/>
      <c r="C409" s="24"/>
      <c r="D409" s="24"/>
      <c r="E409" s="40"/>
      <c r="F409" s="29"/>
      <c r="G409" s="30"/>
      <c r="H409" s="17" t="str">
        <f aca="false">IF(A409="","",A409&amp;"|"&amp;COUNTIF(A$5:A409,A409))</f>
        <v/>
      </c>
      <c r="I409" s="33" t="str">
        <f aca="false">IF(A409="","",IFERROR(INDEX(Items!$B$5:$B$304,MATCH(D409,Items!$A$5:$A$304,0))&amp;"",""))</f>
        <v/>
      </c>
      <c r="J409" s="34" t="str">
        <f aca="false">IF(A409="","",IFERROR(INDEX(Items!$C$5:$C$304,MATCH(D409,Items!$A$5:$A$304,0))&amp;"",""))</f>
        <v/>
      </c>
      <c r="K409" s="35" t="n">
        <f aca="false">IF(A409="",0,IF(ISNUMBER(F409),F409,IFERROR(INDEX(Items!$D$5:$D$304,MATCH(D409,Items!$A$5:$A$304,0)),0)))</f>
        <v>0</v>
      </c>
      <c r="L409" s="35" t="n">
        <f aca="false">ROUND(N(E409)*K409*(1-N(G409)),2)</f>
        <v>0</v>
      </c>
      <c r="M409" s="36" t="n">
        <f aca="false">IF(A409="",0,IFERROR(INDEX(Items!$E$5:$E$304,MATCH(D409,Items!$A$5:$A$304,0)),0))</f>
        <v>0</v>
      </c>
      <c r="N409" s="37" t="str">
        <f aca="false">IF(A409="","",IFERROR(INDEX(Customers!$E$5:$E$204,MATCH(C409,Customers!$A$5:$A$204,0)),"?"))</f>
        <v/>
      </c>
      <c r="O409" s="38" t="str">
        <f aca="false">IF(A409="","",IF(N409=Settings!$B$17,"No","Yes"))</f>
        <v/>
      </c>
      <c r="P409" s="35" t="n">
        <f aca="false">IF(O409="Yes",ROUND(L409*M409,2),0)</f>
        <v>0</v>
      </c>
      <c r="Q409" s="35" t="n">
        <f aca="false">IF(O409="No",ROUND(L409*M409/2,2),0)</f>
        <v>0</v>
      </c>
      <c r="R409" s="35" t="n">
        <f aca="false">Q409</f>
        <v>0</v>
      </c>
      <c r="S409" s="35" t="n">
        <f aca="false">L409+P409+Q409+R409</f>
        <v>0</v>
      </c>
      <c r="T409" s="34" t="str">
        <f aca="false">IF(A409="","",IFERROR(INDEX(Customers!$B$5:$B$204,MATCH(C409,Customers!$A$5:$A$204,0))&amp;"",""))</f>
        <v/>
      </c>
      <c r="U409" s="38" t="str">
        <f aca="false">IF(A409="","",IF(T409&lt;&gt;"","B2B",IF(AND(O409="Yes",SUMIF($A$5:$A$1004,A409,$L$5:$L$1004)+SUMIF($A$5:$A$1004,A409,$P$5:$P$1004)&gt;100000),"B2CL","B2CS")))</f>
        <v/>
      </c>
      <c r="V409" s="17" t="str">
        <f aca="false">IF(A409="","",TEXT(B409,"mmm-yyyy"))</f>
        <v/>
      </c>
    </row>
    <row r="410" customFormat="false" ht="15" hidden="false" customHeight="true" outlineLevel="0" collapsed="false">
      <c r="A410" s="24"/>
      <c r="B410" s="39"/>
      <c r="C410" s="24"/>
      <c r="D410" s="24"/>
      <c r="E410" s="40"/>
      <c r="F410" s="29"/>
      <c r="G410" s="30"/>
      <c r="H410" s="17" t="str">
        <f aca="false">IF(A410="","",A410&amp;"|"&amp;COUNTIF(A$5:A410,A410))</f>
        <v/>
      </c>
      <c r="I410" s="33" t="str">
        <f aca="false">IF(A410="","",IFERROR(INDEX(Items!$B$5:$B$304,MATCH(D410,Items!$A$5:$A$304,0))&amp;"",""))</f>
        <v/>
      </c>
      <c r="J410" s="34" t="str">
        <f aca="false">IF(A410="","",IFERROR(INDEX(Items!$C$5:$C$304,MATCH(D410,Items!$A$5:$A$304,0))&amp;"",""))</f>
        <v/>
      </c>
      <c r="K410" s="35" t="n">
        <f aca="false">IF(A410="",0,IF(ISNUMBER(F410),F410,IFERROR(INDEX(Items!$D$5:$D$304,MATCH(D410,Items!$A$5:$A$304,0)),0)))</f>
        <v>0</v>
      </c>
      <c r="L410" s="35" t="n">
        <f aca="false">ROUND(N(E410)*K410*(1-N(G410)),2)</f>
        <v>0</v>
      </c>
      <c r="M410" s="36" t="n">
        <f aca="false">IF(A410="",0,IFERROR(INDEX(Items!$E$5:$E$304,MATCH(D410,Items!$A$5:$A$304,0)),0))</f>
        <v>0</v>
      </c>
      <c r="N410" s="37" t="str">
        <f aca="false">IF(A410="","",IFERROR(INDEX(Customers!$E$5:$E$204,MATCH(C410,Customers!$A$5:$A$204,0)),"?"))</f>
        <v/>
      </c>
      <c r="O410" s="38" t="str">
        <f aca="false">IF(A410="","",IF(N410=Settings!$B$17,"No","Yes"))</f>
        <v/>
      </c>
      <c r="P410" s="35" t="n">
        <f aca="false">IF(O410="Yes",ROUND(L410*M410,2),0)</f>
        <v>0</v>
      </c>
      <c r="Q410" s="35" t="n">
        <f aca="false">IF(O410="No",ROUND(L410*M410/2,2),0)</f>
        <v>0</v>
      </c>
      <c r="R410" s="35" t="n">
        <f aca="false">Q410</f>
        <v>0</v>
      </c>
      <c r="S410" s="35" t="n">
        <f aca="false">L410+P410+Q410+R410</f>
        <v>0</v>
      </c>
      <c r="T410" s="34" t="str">
        <f aca="false">IF(A410="","",IFERROR(INDEX(Customers!$B$5:$B$204,MATCH(C410,Customers!$A$5:$A$204,0))&amp;"",""))</f>
        <v/>
      </c>
      <c r="U410" s="38" t="str">
        <f aca="false">IF(A410="","",IF(T410&lt;&gt;"","B2B",IF(AND(O410="Yes",SUMIF($A$5:$A$1004,A410,$L$5:$L$1004)+SUMIF($A$5:$A$1004,A410,$P$5:$P$1004)&gt;100000),"B2CL","B2CS")))</f>
        <v/>
      </c>
      <c r="V410" s="17" t="str">
        <f aca="false">IF(A410="","",TEXT(B410,"mmm-yyyy"))</f>
        <v/>
      </c>
    </row>
    <row r="411" customFormat="false" ht="15" hidden="false" customHeight="true" outlineLevel="0" collapsed="false">
      <c r="A411" s="24"/>
      <c r="B411" s="39"/>
      <c r="C411" s="24"/>
      <c r="D411" s="24"/>
      <c r="E411" s="40"/>
      <c r="F411" s="29"/>
      <c r="G411" s="30"/>
      <c r="H411" s="17" t="str">
        <f aca="false">IF(A411="","",A411&amp;"|"&amp;COUNTIF(A$5:A411,A411))</f>
        <v/>
      </c>
      <c r="I411" s="33" t="str">
        <f aca="false">IF(A411="","",IFERROR(INDEX(Items!$B$5:$B$304,MATCH(D411,Items!$A$5:$A$304,0))&amp;"",""))</f>
        <v/>
      </c>
      <c r="J411" s="34" t="str">
        <f aca="false">IF(A411="","",IFERROR(INDEX(Items!$C$5:$C$304,MATCH(D411,Items!$A$5:$A$304,0))&amp;"",""))</f>
        <v/>
      </c>
      <c r="K411" s="35" t="n">
        <f aca="false">IF(A411="",0,IF(ISNUMBER(F411),F411,IFERROR(INDEX(Items!$D$5:$D$304,MATCH(D411,Items!$A$5:$A$304,0)),0)))</f>
        <v>0</v>
      </c>
      <c r="L411" s="35" t="n">
        <f aca="false">ROUND(N(E411)*K411*(1-N(G411)),2)</f>
        <v>0</v>
      </c>
      <c r="M411" s="36" t="n">
        <f aca="false">IF(A411="",0,IFERROR(INDEX(Items!$E$5:$E$304,MATCH(D411,Items!$A$5:$A$304,0)),0))</f>
        <v>0</v>
      </c>
      <c r="N411" s="37" t="str">
        <f aca="false">IF(A411="","",IFERROR(INDEX(Customers!$E$5:$E$204,MATCH(C411,Customers!$A$5:$A$204,0)),"?"))</f>
        <v/>
      </c>
      <c r="O411" s="38" t="str">
        <f aca="false">IF(A411="","",IF(N411=Settings!$B$17,"No","Yes"))</f>
        <v/>
      </c>
      <c r="P411" s="35" t="n">
        <f aca="false">IF(O411="Yes",ROUND(L411*M411,2),0)</f>
        <v>0</v>
      </c>
      <c r="Q411" s="35" t="n">
        <f aca="false">IF(O411="No",ROUND(L411*M411/2,2),0)</f>
        <v>0</v>
      </c>
      <c r="R411" s="35" t="n">
        <f aca="false">Q411</f>
        <v>0</v>
      </c>
      <c r="S411" s="35" t="n">
        <f aca="false">L411+P411+Q411+R411</f>
        <v>0</v>
      </c>
      <c r="T411" s="34" t="str">
        <f aca="false">IF(A411="","",IFERROR(INDEX(Customers!$B$5:$B$204,MATCH(C411,Customers!$A$5:$A$204,0))&amp;"",""))</f>
        <v/>
      </c>
      <c r="U411" s="38" t="str">
        <f aca="false">IF(A411="","",IF(T411&lt;&gt;"","B2B",IF(AND(O411="Yes",SUMIF($A$5:$A$1004,A411,$L$5:$L$1004)+SUMIF($A$5:$A$1004,A411,$P$5:$P$1004)&gt;100000),"B2CL","B2CS")))</f>
        <v/>
      </c>
      <c r="V411" s="17" t="str">
        <f aca="false">IF(A411="","",TEXT(B411,"mmm-yyyy"))</f>
        <v/>
      </c>
    </row>
    <row r="412" customFormat="false" ht="15" hidden="false" customHeight="true" outlineLevel="0" collapsed="false">
      <c r="A412" s="24"/>
      <c r="B412" s="39"/>
      <c r="C412" s="24"/>
      <c r="D412" s="24"/>
      <c r="E412" s="40"/>
      <c r="F412" s="29"/>
      <c r="G412" s="30"/>
      <c r="H412" s="17" t="str">
        <f aca="false">IF(A412="","",A412&amp;"|"&amp;COUNTIF(A$5:A412,A412))</f>
        <v/>
      </c>
      <c r="I412" s="33" t="str">
        <f aca="false">IF(A412="","",IFERROR(INDEX(Items!$B$5:$B$304,MATCH(D412,Items!$A$5:$A$304,0))&amp;"",""))</f>
        <v/>
      </c>
      <c r="J412" s="34" t="str">
        <f aca="false">IF(A412="","",IFERROR(INDEX(Items!$C$5:$C$304,MATCH(D412,Items!$A$5:$A$304,0))&amp;"",""))</f>
        <v/>
      </c>
      <c r="K412" s="35" t="n">
        <f aca="false">IF(A412="",0,IF(ISNUMBER(F412),F412,IFERROR(INDEX(Items!$D$5:$D$304,MATCH(D412,Items!$A$5:$A$304,0)),0)))</f>
        <v>0</v>
      </c>
      <c r="L412" s="35" t="n">
        <f aca="false">ROUND(N(E412)*K412*(1-N(G412)),2)</f>
        <v>0</v>
      </c>
      <c r="M412" s="36" t="n">
        <f aca="false">IF(A412="",0,IFERROR(INDEX(Items!$E$5:$E$304,MATCH(D412,Items!$A$5:$A$304,0)),0))</f>
        <v>0</v>
      </c>
      <c r="N412" s="37" t="str">
        <f aca="false">IF(A412="","",IFERROR(INDEX(Customers!$E$5:$E$204,MATCH(C412,Customers!$A$5:$A$204,0)),"?"))</f>
        <v/>
      </c>
      <c r="O412" s="38" t="str">
        <f aca="false">IF(A412="","",IF(N412=Settings!$B$17,"No","Yes"))</f>
        <v/>
      </c>
      <c r="P412" s="35" t="n">
        <f aca="false">IF(O412="Yes",ROUND(L412*M412,2),0)</f>
        <v>0</v>
      </c>
      <c r="Q412" s="35" t="n">
        <f aca="false">IF(O412="No",ROUND(L412*M412/2,2),0)</f>
        <v>0</v>
      </c>
      <c r="R412" s="35" t="n">
        <f aca="false">Q412</f>
        <v>0</v>
      </c>
      <c r="S412" s="35" t="n">
        <f aca="false">L412+P412+Q412+R412</f>
        <v>0</v>
      </c>
      <c r="T412" s="34" t="str">
        <f aca="false">IF(A412="","",IFERROR(INDEX(Customers!$B$5:$B$204,MATCH(C412,Customers!$A$5:$A$204,0))&amp;"",""))</f>
        <v/>
      </c>
      <c r="U412" s="38" t="str">
        <f aca="false">IF(A412="","",IF(T412&lt;&gt;"","B2B",IF(AND(O412="Yes",SUMIF($A$5:$A$1004,A412,$L$5:$L$1004)+SUMIF($A$5:$A$1004,A412,$P$5:$P$1004)&gt;100000),"B2CL","B2CS")))</f>
        <v/>
      </c>
      <c r="V412" s="17" t="str">
        <f aca="false">IF(A412="","",TEXT(B412,"mmm-yyyy"))</f>
        <v/>
      </c>
    </row>
    <row r="413" customFormat="false" ht="15" hidden="false" customHeight="true" outlineLevel="0" collapsed="false">
      <c r="A413" s="24"/>
      <c r="B413" s="39"/>
      <c r="C413" s="24"/>
      <c r="D413" s="24"/>
      <c r="E413" s="40"/>
      <c r="F413" s="29"/>
      <c r="G413" s="30"/>
      <c r="H413" s="17" t="str">
        <f aca="false">IF(A413="","",A413&amp;"|"&amp;COUNTIF(A$5:A413,A413))</f>
        <v/>
      </c>
      <c r="I413" s="33" t="str">
        <f aca="false">IF(A413="","",IFERROR(INDEX(Items!$B$5:$B$304,MATCH(D413,Items!$A$5:$A$304,0))&amp;"",""))</f>
        <v/>
      </c>
      <c r="J413" s="34" t="str">
        <f aca="false">IF(A413="","",IFERROR(INDEX(Items!$C$5:$C$304,MATCH(D413,Items!$A$5:$A$304,0))&amp;"",""))</f>
        <v/>
      </c>
      <c r="K413" s="35" t="n">
        <f aca="false">IF(A413="",0,IF(ISNUMBER(F413),F413,IFERROR(INDEX(Items!$D$5:$D$304,MATCH(D413,Items!$A$5:$A$304,0)),0)))</f>
        <v>0</v>
      </c>
      <c r="L413" s="35" t="n">
        <f aca="false">ROUND(N(E413)*K413*(1-N(G413)),2)</f>
        <v>0</v>
      </c>
      <c r="M413" s="36" t="n">
        <f aca="false">IF(A413="",0,IFERROR(INDEX(Items!$E$5:$E$304,MATCH(D413,Items!$A$5:$A$304,0)),0))</f>
        <v>0</v>
      </c>
      <c r="N413" s="37" t="str">
        <f aca="false">IF(A413="","",IFERROR(INDEX(Customers!$E$5:$E$204,MATCH(C413,Customers!$A$5:$A$204,0)),"?"))</f>
        <v/>
      </c>
      <c r="O413" s="38" t="str">
        <f aca="false">IF(A413="","",IF(N413=Settings!$B$17,"No","Yes"))</f>
        <v/>
      </c>
      <c r="P413" s="35" t="n">
        <f aca="false">IF(O413="Yes",ROUND(L413*M413,2),0)</f>
        <v>0</v>
      </c>
      <c r="Q413" s="35" t="n">
        <f aca="false">IF(O413="No",ROUND(L413*M413/2,2),0)</f>
        <v>0</v>
      </c>
      <c r="R413" s="35" t="n">
        <f aca="false">Q413</f>
        <v>0</v>
      </c>
      <c r="S413" s="35" t="n">
        <f aca="false">L413+P413+Q413+R413</f>
        <v>0</v>
      </c>
      <c r="T413" s="34" t="str">
        <f aca="false">IF(A413="","",IFERROR(INDEX(Customers!$B$5:$B$204,MATCH(C413,Customers!$A$5:$A$204,0))&amp;"",""))</f>
        <v/>
      </c>
      <c r="U413" s="38" t="str">
        <f aca="false">IF(A413="","",IF(T413&lt;&gt;"","B2B",IF(AND(O413="Yes",SUMIF($A$5:$A$1004,A413,$L$5:$L$1004)+SUMIF($A$5:$A$1004,A413,$P$5:$P$1004)&gt;100000),"B2CL","B2CS")))</f>
        <v/>
      </c>
      <c r="V413" s="17" t="str">
        <f aca="false">IF(A413="","",TEXT(B413,"mmm-yyyy"))</f>
        <v/>
      </c>
    </row>
    <row r="414" customFormat="false" ht="15" hidden="false" customHeight="true" outlineLevel="0" collapsed="false">
      <c r="A414" s="24"/>
      <c r="B414" s="39"/>
      <c r="C414" s="24"/>
      <c r="D414" s="24"/>
      <c r="E414" s="40"/>
      <c r="F414" s="29"/>
      <c r="G414" s="30"/>
      <c r="H414" s="17" t="str">
        <f aca="false">IF(A414="","",A414&amp;"|"&amp;COUNTIF(A$5:A414,A414))</f>
        <v/>
      </c>
      <c r="I414" s="33" t="str">
        <f aca="false">IF(A414="","",IFERROR(INDEX(Items!$B$5:$B$304,MATCH(D414,Items!$A$5:$A$304,0))&amp;"",""))</f>
        <v/>
      </c>
      <c r="J414" s="34" t="str">
        <f aca="false">IF(A414="","",IFERROR(INDEX(Items!$C$5:$C$304,MATCH(D414,Items!$A$5:$A$304,0))&amp;"",""))</f>
        <v/>
      </c>
      <c r="K414" s="35" t="n">
        <f aca="false">IF(A414="",0,IF(ISNUMBER(F414),F414,IFERROR(INDEX(Items!$D$5:$D$304,MATCH(D414,Items!$A$5:$A$304,0)),0)))</f>
        <v>0</v>
      </c>
      <c r="L414" s="35" t="n">
        <f aca="false">ROUND(N(E414)*K414*(1-N(G414)),2)</f>
        <v>0</v>
      </c>
      <c r="M414" s="36" t="n">
        <f aca="false">IF(A414="",0,IFERROR(INDEX(Items!$E$5:$E$304,MATCH(D414,Items!$A$5:$A$304,0)),0))</f>
        <v>0</v>
      </c>
      <c r="N414" s="37" t="str">
        <f aca="false">IF(A414="","",IFERROR(INDEX(Customers!$E$5:$E$204,MATCH(C414,Customers!$A$5:$A$204,0)),"?"))</f>
        <v/>
      </c>
      <c r="O414" s="38" t="str">
        <f aca="false">IF(A414="","",IF(N414=Settings!$B$17,"No","Yes"))</f>
        <v/>
      </c>
      <c r="P414" s="35" t="n">
        <f aca="false">IF(O414="Yes",ROUND(L414*M414,2),0)</f>
        <v>0</v>
      </c>
      <c r="Q414" s="35" t="n">
        <f aca="false">IF(O414="No",ROUND(L414*M414/2,2),0)</f>
        <v>0</v>
      </c>
      <c r="R414" s="35" t="n">
        <f aca="false">Q414</f>
        <v>0</v>
      </c>
      <c r="S414" s="35" t="n">
        <f aca="false">L414+P414+Q414+R414</f>
        <v>0</v>
      </c>
      <c r="T414" s="34" t="str">
        <f aca="false">IF(A414="","",IFERROR(INDEX(Customers!$B$5:$B$204,MATCH(C414,Customers!$A$5:$A$204,0))&amp;"",""))</f>
        <v/>
      </c>
      <c r="U414" s="38" t="str">
        <f aca="false">IF(A414="","",IF(T414&lt;&gt;"","B2B",IF(AND(O414="Yes",SUMIF($A$5:$A$1004,A414,$L$5:$L$1004)+SUMIF($A$5:$A$1004,A414,$P$5:$P$1004)&gt;100000),"B2CL","B2CS")))</f>
        <v/>
      </c>
      <c r="V414" s="17" t="str">
        <f aca="false">IF(A414="","",TEXT(B414,"mmm-yyyy"))</f>
        <v/>
      </c>
    </row>
    <row r="415" customFormat="false" ht="15" hidden="false" customHeight="true" outlineLevel="0" collapsed="false">
      <c r="A415" s="24"/>
      <c r="B415" s="39"/>
      <c r="C415" s="24"/>
      <c r="D415" s="24"/>
      <c r="E415" s="40"/>
      <c r="F415" s="29"/>
      <c r="G415" s="30"/>
      <c r="H415" s="17" t="str">
        <f aca="false">IF(A415="","",A415&amp;"|"&amp;COUNTIF(A$5:A415,A415))</f>
        <v/>
      </c>
      <c r="I415" s="33" t="str">
        <f aca="false">IF(A415="","",IFERROR(INDEX(Items!$B$5:$B$304,MATCH(D415,Items!$A$5:$A$304,0))&amp;"",""))</f>
        <v/>
      </c>
      <c r="J415" s="34" t="str">
        <f aca="false">IF(A415="","",IFERROR(INDEX(Items!$C$5:$C$304,MATCH(D415,Items!$A$5:$A$304,0))&amp;"",""))</f>
        <v/>
      </c>
      <c r="K415" s="35" t="n">
        <f aca="false">IF(A415="",0,IF(ISNUMBER(F415),F415,IFERROR(INDEX(Items!$D$5:$D$304,MATCH(D415,Items!$A$5:$A$304,0)),0)))</f>
        <v>0</v>
      </c>
      <c r="L415" s="35" t="n">
        <f aca="false">ROUND(N(E415)*K415*(1-N(G415)),2)</f>
        <v>0</v>
      </c>
      <c r="M415" s="36" t="n">
        <f aca="false">IF(A415="",0,IFERROR(INDEX(Items!$E$5:$E$304,MATCH(D415,Items!$A$5:$A$304,0)),0))</f>
        <v>0</v>
      </c>
      <c r="N415" s="37" t="str">
        <f aca="false">IF(A415="","",IFERROR(INDEX(Customers!$E$5:$E$204,MATCH(C415,Customers!$A$5:$A$204,0)),"?"))</f>
        <v/>
      </c>
      <c r="O415" s="38" t="str">
        <f aca="false">IF(A415="","",IF(N415=Settings!$B$17,"No","Yes"))</f>
        <v/>
      </c>
      <c r="P415" s="35" t="n">
        <f aca="false">IF(O415="Yes",ROUND(L415*M415,2),0)</f>
        <v>0</v>
      </c>
      <c r="Q415" s="35" t="n">
        <f aca="false">IF(O415="No",ROUND(L415*M415/2,2),0)</f>
        <v>0</v>
      </c>
      <c r="R415" s="35" t="n">
        <f aca="false">Q415</f>
        <v>0</v>
      </c>
      <c r="S415" s="35" t="n">
        <f aca="false">L415+P415+Q415+R415</f>
        <v>0</v>
      </c>
      <c r="T415" s="34" t="str">
        <f aca="false">IF(A415="","",IFERROR(INDEX(Customers!$B$5:$B$204,MATCH(C415,Customers!$A$5:$A$204,0))&amp;"",""))</f>
        <v/>
      </c>
      <c r="U415" s="38" t="str">
        <f aca="false">IF(A415="","",IF(T415&lt;&gt;"","B2B",IF(AND(O415="Yes",SUMIF($A$5:$A$1004,A415,$L$5:$L$1004)+SUMIF($A$5:$A$1004,A415,$P$5:$P$1004)&gt;100000),"B2CL","B2CS")))</f>
        <v/>
      </c>
      <c r="V415" s="17" t="str">
        <f aca="false">IF(A415="","",TEXT(B415,"mmm-yyyy"))</f>
        <v/>
      </c>
    </row>
    <row r="416" customFormat="false" ht="15" hidden="false" customHeight="true" outlineLevel="0" collapsed="false">
      <c r="A416" s="24"/>
      <c r="B416" s="39"/>
      <c r="C416" s="24"/>
      <c r="D416" s="24"/>
      <c r="E416" s="40"/>
      <c r="F416" s="29"/>
      <c r="G416" s="30"/>
      <c r="H416" s="17" t="str">
        <f aca="false">IF(A416="","",A416&amp;"|"&amp;COUNTIF(A$5:A416,A416))</f>
        <v/>
      </c>
      <c r="I416" s="33" t="str">
        <f aca="false">IF(A416="","",IFERROR(INDEX(Items!$B$5:$B$304,MATCH(D416,Items!$A$5:$A$304,0))&amp;"",""))</f>
        <v/>
      </c>
      <c r="J416" s="34" t="str">
        <f aca="false">IF(A416="","",IFERROR(INDEX(Items!$C$5:$C$304,MATCH(D416,Items!$A$5:$A$304,0))&amp;"",""))</f>
        <v/>
      </c>
      <c r="K416" s="35" t="n">
        <f aca="false">IF(A416="",0,IF(ISNUMBER(F416),F416,IFERROR(INDEX(Items!$D$5:$D$304,MATCH(D416,Items!$A$5:$A$304,0)),0)))</f>
        <v>0</v>
      </c>
      <c r="L416" s="35" t="n">
        <f aca="false">ROUND(N(E416)*K416*(1-N(G416)),2)</f>
        <v>0</v>
      </c>
      <c r="M416" s="36" t="n">
        <f aca="false">IF(A416="",0,IFERROR(INDEX(Items!$E$5:$E$304,MATCH(D416,Items!$A$5:$A$304,0)),0))</f>
        <v>0</v>
      </c>
      <c r="N416" s="37" t="str">
        <f aca="false">IF(A416="","",IFERROR(INDEX(Customers!$E$5:$E$204,MATCH(C416,Customers!$A$5:$A$204,0)),"?"))</f>
        <v/>
      </c>
      <c r="O416" s="38" t="str">
        <f aca="false">IF(A416="","",IF(N416=Settings!$B$17,"No","Yes"))</f>
        <v/>
      </c>
      <c r="P416" s="35" t="n">
        <f aca="false">IF(O416="Yes",ROUND(L416*M416,2),0)</f>
        <v>0</v>
      </c>
      <c r="Q416" s="35" t="n">
        <f aca="false">IF(O416="No",ROUND(L416*M416/2,2),0)</f>
        <v>0</v>
      </c>
      <c r="R416" s="35" t="n">
        <f aca="false">Q416</f>
        <v>0</v>
      </c>
      <c r="S416" s="35" t="n">
        <f aca="false">L416+P416+Q416+R416</f>
        <v>0</v>
      </c>
      <c r="T416" s="34" t="str">
        <f aca="false">IF(A416="","",IFERROR(INDEX(Customers!$B$5:$B$204,MATCH(C416,Customers!$A$5:$A$204,0))&amp;"",""))</f>
        <v/>
      </c>
      <c r="U416" s="38" t="str">
        <f aca="false">IF(A416="","",IF(T416&lt;&gt;"","B2B",IF(AND(O416="Yes",SUMIF($A$5:$A$1004,A416,$L$5:$L$1004)+SUMIF($A$5:$A$1004,A416,$P$5:$P$1004)&gt;100000),"B2CL","B2CS")))</f>
        <v/>
      </c>
      <c r="V416" s="17" t="str">
        <f aca="false">IF(A416="","",TEXT(B416,"mmm-yyyy"))</f>
        <v/>
      </c>
    </row>
    <row r="417" customFormat="false" ht="15" hidden="false" customHeight="true" outlineLevel="0" collapsed="false">
      <c r="A417" s="24"/>
      <c r="B417" s="39"/>
      <c r="C417" s="24"/>
      <c r="D417" s="24"/>
      <c r="E417" s="40"/>
      <c r="F417" s="29"/>
      <c r="G417" s="30"/>
      <c r="H417" s="17" t="str">
        <f aca="false">IF(A417="","",A417&amp;"|"&amp;COUNTIF(A$5:A417,A417))</f>
        <v/>
      </c>
      <c r="I417" s="33" t="str">
        <f aca="false">IF(A417="","",IFERROR(INDEX(Items!$B$5:$B$304,MATCH(D417,Items!$A$5:$A$304,0))&amp;"",""))</f>
        <v/>
      </c>
      <c r="J417" s="34" t="str">
        <f aca="false">IF(A417="","",IFERROR(INDEX(Items!$C$5:$C$304,MATCH(D417,Items!$A$5:$A$304,0))&amp;"",""))</f>
        <v/>
      </c>
      <c r="K417" s="35" t="n">
        <f aca="false">IF(A417="",0,IF(ISNUMBER(F417),F417,IFERROR(INDEX(Items!$D$5:$D$304,MATCH(D417,Items!$A$5:$A$304,0)),0)))</f>
        <v>0</v>
      </c>
      <c r="L417" s="35" t="n">
        <f aca="false">ROUND(N(E417)*K417*(1-N(G417)),2)</f>
        <v>0</v>
      </c>
      <c r="M417" s="36" t="n">
        <f aca="false">IF(A417="",0,IFERROR(INDEX(Items!$E$5:$E$304,MATCH(D417,Items!$A$5:$A$304,0)),0))</f>
        <v>0</v>
      </c>
      <c r="N417" s="37" t="str">
        <f aca="false">IF(A417="","",IFERROR(INDEX(Customers!$E$5:$E$204,MATCH(C417,Customers!$A$5:$A$204,0)),"?"))</f>
        <v/>
      </c>
      <c r="O417" s="38" t="str">
        <f aca="false">IF(A417="","",IF(N417=Settings!$B$17,"No","Yes"))</f>
        <v/>
      </c>
      <c r="P417" s="35" t="n">
        <f aca="false">IF(O417="Yes",ROUND(L417*M417,2),0)</f>
        <v>0</v>
      </c>
      <c r="Q417" s="35" t="n">
        <f aca="false">IF(O417="No",ROUND(L417*M417/2,2),0)</f>
        <v>0</v>
      </c>
      <c r="R417" s="35" t="n">
        <f aca="false">Q417</f>
        <v>0</v>
      </c>
      <c r="S417" s="35" t="n">
        <f aca="false">L417+P417+Q417+R417</f>
        <v>0</v>
      </c>
      <c r="T417" s="34" t="str">
        <f aca="false">IF(A417="","",IFERROR(INDEX(Customers!$B$5:$B$204,MATCH(C417,Customers!$A$5:$A$204,0))&amp;"",""))</f>
        <v/>
      </c>
      <c r="U417" s="38" t="str">
        <f aca="false">IF(A417="","",IF(T417&lt;&gt;"","B2B",IF(AND(O417="Yes",SUMIF($A$5:$A$1004,A417,$L$5:$L$1004)+SUMIF($A$5:$A$1004,A417,$P$5:$P$1004)&gt;100000),"B2CL","B2CS")))</f>
        <v/>
      </c>
      <c r="V417" s="17" t="str">
        <f aca="false">IF(A417="","",TEXT(B417,"mmm-yyyy"))</f>
        <v/>
      </c>
    </row>
    <row r="418" customFormat="false" ht="15" hidden="false" customHeight="true" outlineLevel="0" collapsed="false">
      <c r="A418" s="24"/>
      <c r="B418" s="39"/>
      <c r="C418" s="24"/>
      <c r="D418" s="24"/>
      <c r="E418" s="40"/>
      <c r="F418" s="29"/>
      <c r="G418" s="30"/>
      <c r="H418" s="17" t="str">
        <f aca="false">IF(A418="","",A418&amp;"|"&amp;COUNTIF(A$5:A418,A418))</f>
        <v/>
      </c>
      <c r="I418" s="33" t="str">
        <f aca="false">IF(A418="","",IFERROR(INDEX(Items!$B$5:$B$304,MATCH(D418,Items!$A$5:$A$304,0))&amp;"",""))</f>
        <v/>
      </c>
      <c r="J418" s="34" t="str">
        <f aca="false">IF(A418="","",IFERROR(INDEX(Items!$C$5:$C$304,MATCH(D418,Items!$A$5:$A$304,0))&amp;"",""))</f>
        <v/>
      </c>
      <c r="K418" s="35" t="n">
        <f aca="false">IF(A418="",0,IF(ISNUMBER(F418),F418,IFERROR(INDEX(Items!$D$5:$D$304,MATCH(D418,Items!$A$5:$A$304,0)),0)))</f>
        <v>0</v>
      </c>
      <c r="L418" s="35" t="n">
        <f aca="false">ROUND(N(E418)*K418*(1-N(G418)),2)</f>
        <v>0</v>
      </c>
      <c r="M418" s="36" t="n">
        <f aca="false">IF(A418="",0,IFERROR(INDEX(Items!$E$5:$E$304,MATCH(D418,Items!$A$5:$A$304,0)),0))</f>
        <v>0</v>
      </c>
      <c r="N418" s="37" t="str">
        <f aca="false">IF(A418="","",IFERROR(INDEX(Customers!$E$5:$E$204,MATCH(C418,Customers!$A$5:$A$204,0)),"?"))</f>
        <v/>
      </c>
      <c r="O418" s="38" t="str">
        <f aca="false">IF(A418="","",IF(N418=Settings!$B$17,"No","Yes"))</f>
        <v/>
      </c>
      <c r="P418" s="35" t="n">
        <f aca="false">IF(O418="Yes",ROUND(L418*M418,2),0)</f>
        <v>0</v>
      </c>
      <c r="Q418" s="35" t="n">
        <f aca="false">IF(O418="No",ROUND(L418*M418/2,2),0)</f>
        <v>0</v>
      </c>
      <c r="R418" s="35" t="n">
        <f aca="false">Q418</f>
        <v>0</v>
      </c>
      <c r="S418" s="35" t="n">
        <f aca="false">L418+P418+Q418+R418</f>
        <v>0</v>
      </c>
      <c r="T418" s="34" t="str">
        <f aca="false">IF(A418="","",IFERROR(INDEX(Customers!$B$5:$B$204,MATCH(C418,Customers!$A$5:$A$204,0))&amp;"",""))</f>
        <v/>
      </c>
      <c r="U418" s="38" t="str">
        <f aca="false">IF(A418="","",IF(T418&lt;&gt;"","B2B",IF(AND(O418="Yes",SUMIF($A$5:$A$1004,A418,$L$5:$L$1004)+SUMIF($A$5:$A$1004,A418,$P$5:$P$1004)&gt;100000),"B2CL","B2CS")))</f>
        <v/>
      </c>
      <c r="V418" s="17" t="str">
        <f aca="false">IF(A418="","",TEXT(B418,"mmm-yyyy"))</f>
        <v/>
      </c>
    </row>
    <row r="419" customFormat="false" ht="15" hidden="false" customHeight="true" outlineLevel="0" collapsed="false">
      <c r="A419" s="24"/>
      <c r="B419" s="39"/>
      <c r="C419" s="24"/>
      <c r="D419" s="24"/>
      <c r="E419" s="40"/>
      <c r="F419" s="29"/>
      <c r="G419" s="30"/>
      <c r="H419" s="17" t="str">
        <f aca="false">IF(A419="","",A419&amp;"|"&amp;COUNTIF(A$5:A419,A419))</f>
        <v/>
      </c>
      <c r="I419" s="33" t="str">
        <f aca="false">IF(A419="","",IFERROR(INDEX(Items!$B$5:$B$304,MATCH(D419,Items!$A$5:$A$304,0))&amp;"",""))</f>
        <v/>
      </c>
      <c r="J419" s="34" t="str">
        <f aca="false">IF(A419="","",IFERROR(INDEX(Items!$C$5:$C$304,MATCH(D419,Items!$A$5:$A$304,0))&amp;"",""))</f>
        <v/>
      </c>
      <c r="K419" s="35" t="n">
        <f aca="false">IF(A419="",0,IF(ISNUMBER(F419),F419,IFERROR(INDEX(Items!$D$5:$D$304,MATCH(D419,Items!$A$5:$A$304,0)),0)))</f>
        <v>0</v>
      </c>
      <c r="L419" s="35" t="n">
        <f aca="false">ROUND(N(E419)*K419*(1-N(G419)),2)</f>
        <v>0</v>
      </c>
      <c r="M419" s="36" t="n">
        <f aca="false">IF(A419="",0,IFERROR(INDEX(Items!$E$5:$E$304,MATCH(D419,Items!$A$5:$A$304,0)),0))</f>
        <v>0</v>
      </c>
      <c r="N419" s="37" t="str">
        <f aca="false">IF(A419="","",IFERROR(INDEX(Customers!$E$5:$E$204,MATCH(C419,Customers!$A$5:$A$204,0)),"?"))</f>
        <v/>
      </c>
      <c r="O419" s="38" t="str">
        <f aca="false">IF(A419="","",IF(N419=Settings!$B$17,"No","Yes"))</f>
        <v/>
      </c>
      <c r="P419" s="35" t="n">
        <f aca="false">IF(O419="Yes",ROUND(L419*M419,2),0)</f>
        <v>0</v>
      </c>
      <c r="Q419" s="35" t="n">
        <f aca="false">IF(O419="No",ROUND(L419*M419/2,2),0)</f>
        <v>0</v>
      </c>
      <c r="R419" s="35" t="n">
        <f aca="false">Q419</f>
        <v>0</v>
      </c>
      <c r="S419" s="35" t="n">
        <f aca="false">L419+P419+Q419+R419</f>
        <v>0</v>
      </c>
      <c r="T419" s="34" t="str">
        <f aca="false">IF(A419="","",IFERROR(INDEX(Customers!$B$5:$B$204,MATCH(C419,Customers!$A$5:$A$204,0))&amp;"",""))</f>
        <v/>
      </c>
      <c r="U419" s="38" t="str">
        <f aca="false">IF(A419="","",IF(T419&lt;&gt;"","B2B",IF(AND(O419="Yes",SUMIF($A$5:$A$1004,A419,$L$5:$L$1004)+SUMIF($A$5:$A$1004,A419,$P$5:$P$1004)&gt;100000),"B2CL","B2CS")))</f>
        <v/>
      </c>
      <c r="V419" s="17" t="str">
        <f aca="false">IF(A419="","",TEXT(B419,"mmm-yyyy"))</f>
        <v/>
      </c>
    </row>
    <row r="420" customFormat="false" ht="15" hidden="false" customHeight="true" outlineLevel="0" collapsed="false">
      <c r="A420" s="24"/>
      <c r="B420" s="39"/>
      <c r="C420" s="24"/>
      <c r="D420" s="24"/>
      <c r="E420" s="40"/>
      <c r="F420" s="29"/>
      <c r="G420" s="30"/>
      <c r="H420" s="17" t="str">
        <f aca="false">IF(A420="","",A420&amp;"|"&amp;COUNTIF(A$5:A420,A420))</f>
        <v/>
      </c>
      <c r="I420" s="33" t="str">
        <f aca="false">IF(A420="","",IFERROR(INDEX(Items!$B$5:$B$304,MATCH(D420,Items!$A$5:$A$304,0))&amp;"",""))</f>
        <v/>
      </c>
      <c r="J420" s="34" t="str">
        <f aca="false">IF(A420="","",IFERROR(INDEX(Items!$C$5:$C$304,MATCH(D420,Items!$A$5:$A$304,0))&amp;"",""))</f>
        <v/>
      </c>
      <c r="K420" s="35" t="n">
        <f aca="false">IF(A420="",0,IF(ISNUMBER(F420),F420,IFERROR(INDEX(Items!$D$5:$D$304,MATCH(D420,Items!$A$5:$A$304,0)),0)))</f>
        <v>0</v>
      </c>
      <c r="L420" s="35" t="n">
        <f aca="false">ROUND(N(E420)*K420*(1-N(G420)),2)</f>
        <v>0</v>
      </c>
      <c r="M420" s="36" t="n">
        <f aca="false">IF(A420="",0,IFERROR(INDEX(Items!$E$5:$E$304,MATCH(D420,Items!$A$5:$A$304,0)),0))</f>
        <v>0</v>
      </c>
      <c r="N420" s="37" t="str">
        <f aca="false">IF(A420="","",IFERROR(INDEX(Customers!$E$5:$E$204,MATCH(C420,Customers!$A$5:$A$204,0)),"?"))</f>
        <v/>
      </c>
      <c r="O420" s="38" t="str">
        <f aca="false">IF(A420="","",IF(N420=Settings!$B$17,"No","Yes"))</f>
        <v/>
      </c>
      <c r="P420" s="35" t="n">
        <f aca="false">IF(O420="Yes",ROUND(L420*M420,2),0)</f>
        <v>0</v>
      </c>
      <c r="Q420" s="35" t="n">
        <f aca="false">IF(O420="No",ROUND(L420*M420/2,2),0)</f>
        <v>0</v>
      </c>
      <c r="R420" s="35" t="n">
        <f aca="false">Q420</f>
        <v>0</v>
      </c>
      <c r="S420" s="35" t="n">
        <f aca="false">L420+P420+Q420+R420</f>
        <v>0</v>
      </c>
      <c r="T420" s="34" t="str">
        <f aca="false">IF(A420="","",IFERROR(INDEX(Customers!$B$5:$B$204,MATCH(C420,Customers!$A$5:$A$204,0))&amp;"",""))</f>
        <v/>
      </c>
      <c r="U420" s="38" t="str">
        <f aca="false">IF(A420="","",IF(T420&lt;&gt;"","B2B",IF(AND(O420="Yes",SUMIF($A$5:$A$1004,A420,$L$5:$L$1004)+SUMIF($A$5:$A$1004,A420,$P$5:$P$1004)&gt;100000),"B2CL","B2CS")))</f>
        <v/>
      </c>
      <c r="V420" s="17" t="str">
        <f aca="false">IF(A420="","",TEXT(B420,"mmm-yyyy"))</f>
        <v/>
      </c>
    </row>
    <row r="421" customFormat="false" ht="15" hidden="false" customHeight="true" outlineLevel="0" collapsed="false">
      <c r="A421" s="24"/>
      <c r="B421" s="39"/>
      <c r="C421" s="24"/>
      <c r="D421" s="24"/>
      <c r="E421" s="40"/>
      <c r="F421" s="29"/>
      <c r="G421" s="30"/>
      <c r="H421" s="17" t="str">
        <f aca="false">IF(A421="","",A421&amp;"|"&amp;COUNTIF(A$5:A421,A421))</f>
        <v/>
      </c>
      <c r="I421" s="33" t="str">
        <f aca="false">IF(A421="","",IFERROR(INDEX(Items!$B$5:$B$304,MATCH(D421,Items!$A$5:$A$304,0))&amp;"",""))</f>
        <v/>
      </c>
      <c r="J421" s="34" t="str">
        <f aca="false">IF(A421="","",IFERROR(INDEX(Items!$C$5:$C$304,MATCH(D421,Items!$A$5:$A$304,0))&amp;"",""))</f>
        <v/>
      </c>
      <c r="K421" s="35" t="n">
        <f aca="false">IF(A421="",0,IF(ISNUMBER(F421),F421,IFERROR(INDEX(Items!$D$5:$D$304,MATCH(D421,Items!$A$5:$A$304,0)),0)))</f>
        <v>0</v>
      </c>
      <c r="L421" s="35" t="n">
        <f aca="false">ROUND(N(E421)*K421*(1-N(G421)),2)</f>
        <v>0</v>
      </c>
      <c r="M421" s="36" t="n">
        <f aca="false">IF(A421="",0,IFERROR(INDEX(Items!$E$5:$E$304,MATCH(D421,Items!$A$5:$A$304,0)),0))</f>
        <v>0</v>
      </c>
      <c r="N421" s="37" t="str">
        <f aca="false">IF(A421="","",IFERROR(INDEX(Customers!$E$5:$E$204,MATCH(C421,Customers!$A$5:$A$204,0)),"?"))</f>
        <v/>
      </c>
      <c r="O421" s="38" t="str">
        <f aca="false">IF(A421="","",IF(N421=Settings!$B$17,"No","Yes"))</f>
        <v/>
      </c>
      <c r="P421" s="35" t="n">
        <f aca="false">IF(O421="Yes",ROUND(L421*M421,2),0)</f>
        <v>0</v>
      </c>
      <c r="Q421" s="35" t="n">
        <f aca="false">IF(O421="No",ROUND(L421*M421/2,2),0)</f>
        <v>0</v>
      </c>
      <c r="R421" s="35" t="n">
        <f aca="false">Q421</f>
        <v>0</v>
      </c>
      <c r="S421" s="35" t="n">
        <f aca="false">L421+P421+Q421+R421</f>
        <v>0</v>
      </c>
      <c r="T421" s="34" t="str">
        <f aca="false">IF(A421="","",IFERROR(INDEX(Customers!$B$5:$B$204,MATCH(C421,Customers!$A$5:$A$204,0))&amp;"",""))</f>
        <v/>
      </c>
      <c r="U421" s="38" t="str">
        <f aca="false">IF(A421="","",IF(T421&lt;&gt;"","B2B",IF(AND(O421="Yes",SUMIF($A$5:$A$1004,A421,$L$5:$L$1004)+SUMIF($A$5:$A$1004,A421,$P$5:$P$1004)&gt;100000),"B2CL","B2CS")))</f>
        <v/>
      </c>
      <c r="V421" s="17" t="str">
        <f aca="false">IF(A421="","",TEXT(B421,"mmm-yyyy"))</f>
        <v/>
      </c>
    </row>
    <row r="422" customFormat="false" ht="15" hidden="false" customHeight="true" outlineLevel="0" collapsed="false">
      <c r="A422" s="24"/>
      <c r="B422" s="39"/>
      <c r="C422" s="24"/>
      <c r="D422" s="24"/>
      <c r="E422" s="40"/>
      <c r="F422" s="29"/>
      <c r="G422" s="30"/>
      <c r="H422" s="17" t="str">
        <f aca="false">IF(A422="","",A422&amp;"|"&amp;COUNTIF(A$5:A422,A422))</f>
        <v/>
      </c>
      <c r="I422" s="33" t="str">
        <f aca="false">IF(A422="","",IFERROR(INDEX(Items!$B$5:$B$304,MATCH(D422,Items!$A$5:$A$304,0))&amp;"",""))</f>
        <v/>
      </c>
      <c r="J422" s="34" t="str">
        <f aca="false">IF(A422="","",IFERROR(INDEX(Items!$C$5:$C$304,MATCH(D422,Items!$A$5:$A$304,0))&amp;"",""))</f>
        <v/>
      </c>
      <c r="K422" s="35" t="n">
        <f aca="false">IF(A422="",0,IF(ISNUMBER(F422),F422,IFERROR(INDEX(Items!$D$5:$D$304,MATCH(D422,Items!$A$5:$A$304,0)),0)))</f>
        <v>0</v>
      </c>
      <c r="L422" s="35" t="n">
        <f aca="false">ROUND(N(E422)*K422*(1-N(G422)),2)</f>
        <v>0</v>
      </c>
      <c r="M422" s="36" t="n">
        <f aca="false">IF(A422="",0,IFERROR(INDEX(Items!$E$5:$E$304,MATCH(D422,Items!$A$5:$A$304,0)),0))</f>
        <v>0</v>
      </c>
      <c r="N422" s="37" t="str">
        <f aca="false">IF(A422="","",IFERROR(INDEX(Customers!$E$5:$E$204,MATCH(C422,Customers!$A$5:$A$204,0)),"?"))</f>
        <v/>
      </c>
      <c r="O422" s="38" t="str">
        <f aca="false">IF(A422="","",IF(N422=Settings!$B$17,"No","Yes"))</f>
        <v/>
      </c>
      <c r="P422" s="35" t="n">
        <f aca="false">IF(O422="Yes",ROUND(L422*M422,2),0)</f>
        <v>0</v>
      </c>
      <c r="Q422" s="35" t="n">
        <f aca="false">IF(O422="No",ROUND(L422*M422/2,2),0)</f>
        <v>0</v>
      </c>
      <c r="R422" s="35" t="n">
        <f aca="false">Q422</f>
        <v>0</v>
      </c>
      <c r="S422" s="35" t="n">
        <f aca="false">L422+P422+Q422+R422</f>
        <v>0</v>
      </c>
      <c r="T422" s="34" t="str">
        <f aca="false">IF(A422="","",IFERROR(INDEX(Customers!$B$5:$B$204,MATCH(C422,Customers!$A$5:$A$204,0))&amp;"",""))</f>
        <v/>
      </c>
      <c r="U422" s="38" t="str">
        <f aca="false">IF(A422="","",IF(T422&lt;&gt;"","B2B",IF(AND(O422="Yes",SUMIF($A$5:$A$1004,A422,$L$5:$L$1004)+SUMIF($A$5:$A$1004,A422,$P$5:$P$1004)&gt;100000),"B2CL","B2CS")))</f>
        <v/>
      </c>
      <c r="V422" s="17" t="str">
        <f aca="false">IF(A422="","",TEXT(B422,"mmm-yyyy"))</f>
        <v/>
      </c>
    </row>
    <row r="423" customFormat="false" ht="15" hidden="false" customHeight="true" outlineLevel="0" collapsed="false">
      <c r="A423" s="24"/>
      <c r="B423" s="39"/>
      <c r="C423" s="24"/>
      <c r="D423" s="24"/>
      <c r="E423" s="40"/>
      <c r="F423" s="29"/>
      <c r="G423" s="30"/>
      <c r="H423" s="17" t="str">
        <f aca="false">IF(A423="","",A423&amp;"|"&amp;COUNTIF(A$5:A423,A423))</f>
        <v/>
      </c>
      <c r="I423" s="33" t="str">
        <f aca="false">IF(A423="","",IFERROR(INDEX(Items!$B$5:$B$304,MATCH(D423,Items!$A$5:$A$304,0))&amp;"",""))</f>
        <v/>
      </c>
      <c r="J423" s="34" t="str">
        <f aca="false">IF(A423="","",IFERROR(INDEX(Items!$C$5:$C$304,MATCH(D423,Items!$A$5:$A$304,0))&amp;"",""))</f>
        <v/>
      </c>
      <c r="K423" s="35" t="n">
        <f aca="false">IF(A423="",0,IF(ISNUMBER(F423),F423,IFERROR(INDEX(Items!$D$5:$D$304,MATCH(D423,Items!$A$5:$A$304,0)),0)))</f>
        <v>0</v>
      </c>
      <c r="L423" s="35" t="n">
        <f aca="false">ROUND(N(E423)*K423*(1-N(G423)),2)</f>
        <v>0</v>
      </c>
      <c r="M423" s="36" t="n">
        <f aca="false">IF(A423="",0,IFERROR(INDEX(Items!$E$5:$E$304,MATCH(D423,Items!$A$5:$A$304,0)),0))</f>
        <v>0</v>
      </c>
      <c r="N423" s="37" t="str">
        <f aca="false">IF(A423="","",IFERROR(INDEX(Customers!$E$5:$E$204,MATCH(C423,Customers!$A$5:$A$204,0)),"?"))</f>
        <v/>
      </c>
      <c r="O423" s="38" t="str">
        <f aca="false">IF(A423="","",IF(N423=Settings!$B$17,"No","Yes"))</f>
        <v/>
      </c>
      <c r="P423" s="35" t="n">
        <f aca="false">IF(O423="Yes",ROUND(L423*M423,2),0)</f>
        <v>0</v>
      </c>
      <c r="Q423" s="35" t="n">
        <f aca="false">IF(O423="No",ROUND(L423*M423/2,2),0)</f>
        <v>0</v>
      </c>
      <c r="R423" s="35" t="n">
        <f aca="false">Q423</f>
        <v>0</v>
      </c>
      <c r="S423" s="35" t="n">
        <f aca="false">L423+P423+Q423+R423</f>
        <v>0</v>
      </c>
      <c r="T423" s="34" t="str">
        <f aca="false">IF(A423="","",IFERROR(INDEX(Customers!$B$5:$B$204,MATCH(C423,Customers!$A$5:$A$204,0))&amp;"",""))</f>
        <v/>
      </c>
      <c r="U423" s="38" t="str">
        <f aca="false">IF(A423="","",IF(T423&lt;&gt;"","B2B",IF(AND(O423="Yes",SUMIF($A$5:$A$1004,A423,$L$5:$L$1004)+SUMIF($A$5:$A$1004,A423,$P$5:$P$1004)&gt;100000),"B2CL","B2CS")))</f>
        <v/>
      </c>
      <c r="V423" s="17" t="str">
        <f aca="false">IF(A423="","",TEXT(B423,"mmm-yyyy"))</f>
        <v/>
      </c>
    </row>
    <row r="424" customFormat="false" ht="15" hidden="false" customHeight="true" outlineLevel="0" collapsed="false">
      <c r="A424" s="24"/>
      <c r="B424" s="39"/>
      <c r="C424" s="24"/>
      <c r="D424" s="24"/>
      <c r="E424" s="40"/>
      <c r="F424" s="29"/>
      <c r="G424" s="30"/>
      <c r="H424" s="17" t="str">
        <f aca="false">IF(A424="","",A424&amp;"|"&amp;COUNTIF(A$5:A424,A424))</f>
        <v/>
      </c>
      <c r="I424" s="33" t="str">
        <f aca="false">IF(A424="","",IFERROR(INDEX(Items!$B$5:$B$304,MATCH(D424,Items!$A$5:$A$304,0))&amp;"",""))</f>
        <v/>
      </c>
      <c r="J424" s="34" t="str">
        <f aca="false">IF(A424="","",IFERROR(INDEX(Items!$C$5:$C$304,MATCH(D424,Items!$A$5:$A$304,0))&amp;"",""))</f>
        <v/>
      </c>
      <c r="K424" s="35" t="n">
        <f aca="false">IF(A424="",0,IF(ISNUMBER(F424),F424,IFERROR(INDEX(Items!$D$5:$D$304,MATCH(D424,Items!$A$5:$A$304,0)),0)))</f>
        <v>0</v>
      </c>
      <c r="L424" s="35" t="n">
        <f aca="false">ROUND(N(E424)*K424*(1-N(G424)),2)</f>
        <v>0</v>
      </c>
      <c r="M424" s="36" t="n">
        <f aca="false">IF(A424="",0,IFERROR(INDEX(Items!$E$5:$E$304,MATCH(D424,Items!$A$5:$A$304,0)),0))</f>
        <v>0</v>
      </c>
      <c r="N424" s="37" t="str">
        <f aca="false">IF(A424="","",IFERROR(INDEX(Customers!$E$5:$E$204,MATCH(C424,Customers!$A$5:$A$204,0)),"?"))</f>
        <v/>
      </c>
      <c r="O424" s="38" t="str">
        <f aca="false">IF(A424="","",IF(N424=Settings!$B$17,"No","Yes"))</f>
        <v/>
      </c>
      <c r="P424" s="35" t="n">
        <f aca="false">IF(O424="Yes",ROUND(L424*M424,2),0)</f>
        <v>0</v>
      </c>
      <c r="Q424" s="35" t="n">
        <f aca="false">IF(O424="No",ROUND(L424*M424/2,2),0)</f>
        <v>0</v>
      </c>
      <c r="R424" s="35" t="n">
        <f aca="false">Q424</f>
        <v>0</v>
      </c>
      <c r="S424" s="35" t="n">
        <f aca="false">L424+P424+Q424+R424</f>
        <v>0</v>
      </c>
      <c r="T424" s="34" t="str">
        <f aca="false">IF(A424="","",IFERROR(INDEX(Customers!$B$5:$B$204,MATCH(C424,Customers!$A$5:$A$204,0))&amp;"",""))</f>
        <v/>
      </c>
      <c r="U424" s="38" t="str">
        <f aca="false">IF(A424="","",IF(T424&lt;&gt;"","B2B",IF(AND(O424="Yes",SUMIF($A$5:$A$1004,A424,$L$5:$L$1004)+SUMIF($A$5:$A$1004,A424,$P$5:$P$1004)&gt;100000),"B2CL","B2CS")))</f>
        <v/>
      </c>
      <c r="V424" s="17" t="str">
        <f aca="false">IF(A424="","",TEXT(B424,"mmm-yyyy"))</f>
        <v/>
      </c>
    </row>
    <row r="425" customFormat="false" ht="15" hidden="false" customHeight="true" outlineLevel="0" collapsed="false">
      <c r="A425" s="24"/>
      <c r="B425" s="39"/>
      <c r="C425" s="24"/>
      <c r="D425" s="24"/>
      <c r="E425" s="40"/>
      <c r="F425" s="29"/>
      <c r="G425" s="30"/>
      <c r="H425" s="17" t="str">
        <f aca="false">IF(A425="","",A425&amp;"|"&amp;COUNTIF(A$5:A425,A425))</f>
        <v/>
      </c>
      <c r="I425" s="33" t="str">
        <f aca="false">IF(A425="","",IFERROR(INDEX(Items!$B$5:$B$304,MATCH(D425,Items!$A$5:$A$304,0))&amp;"",""))</f>
        <v/>
      </c>
      <c r="J425" s="34" t="str">
        <f aca="false">IF(A425="","",IFERROR(INDEX(Items!$C$5:$C$304,MATCH(D425,Items!$A$5:$A$304,0))&amp;"",""))</f>
        <v/>
      </c>
      <c r="K425" s="35" t="n">
        <f aca="false">IF(A425="",0,IF(ISNUMBER(F425),F425,IFERROR(INDEX(Items!$D$5:$D$304,MATCH(D425,Items!$A$5:$A$304,0)),0)))</f>
        <v>0</v>
      </c>
      <c r="L425" s="35" t="n">
        <f aca="false">ROUND(N(E425)*K425*(1-N(G425)),2)</f>
        <v>0</v>
      </c>
      <c r="M425" s="36" t="n">
        <f aca="false">IF(A425="",0,IFERROR(INDEX(Items!$E$5:$E$304,MATCH(D425,Items!$A$5:$A$304,0)),0))</f>
        <v>0</v>
      </c>
      <c r="N425" s="37" t="str">
        <f aca="false">IF(A425="","",IFERROR(INDEX(Customers!$E$5:$E$204,MATCH(C425,Customers!$A$5:$A$204,0)),"?"))</f>
        <v/>
      </c>
      <c r="O425" s="38" t="str">
        <f aca="false">IF(A425="","",IF(N425=Settings!$B$17,"No","Yes"))</f>
        <v/>
      </c>
      <c r="P425" s="35" t="n">
        <f aca="false">IF(O425="Yes",ROUND(L425*M425,2),0)</f>
        <v>0</v>
      </c>
      <c r="Q425" s="35" t="n">
        <f aca="false">IF(O425="No",ROUND(L425*M425/2,2),0)</f>
        <v>0</v>
      </c>
      <c r="R425" s="35" t="n">
        <f aca="false">Q425</f>
        <v>0</v>
      </c>
      <c r="S425" s="35" t="n">
        <f aca="false">L425+P425+Q425+R425</f>
        <v>0</v>
      </c>
      <c r="T425" s="34" t="str">
        <f aca="false">IF(A425="","",IFERROR(INDEX(Customers!$B$5:$B$204,MATCH(C425,Customers!$A$5:$A$204,0))&amp;"",""))</f>
        <v/>
      </c>
      <c r="U425" s="38" t="str">
        <f aca="false">IF(A425="","",IF(T425&lt;&gt;"","B2B",IF(AND(O425="Yes",SUMIF($A$5:$A$1004,A425,$L$5:$L$1004)+SUMIF($A$5:$A$1004,A425,$P$5:$P$1004)&gt;100000),"B2CL","B2CS")))</f>
        <v/>
      </c>
      <c r="V425" s="17" t="str">
        <f aca="false">IF(A425="","",TEXT(B425,"mmm-yyyy"))</f>
        <v/>
      </c>
    </row>
    <row r="426" customFormat="false" ht="15" hidden="false" customHeight="true" outlineLevel="0" collapsed="false">
      <c r="A426" s="24"/>
      <c r="B426" s="39"/>
      <c r="C426" s="24"/>
      <c r="D426" s="24"/>
      <c r="E426" s="40"/>
      <c r="F426" s="29"/>
      <c r="G426" s="30"/>
      <c r="H426" s="17" t="str">
        <f aca="false">IF(A426="","",A426&amp;"|"&amp;COUNTIF(A$5:A426,A426))</f>
        <v/>
      </c>
      <c r="I426" s="33" t="str">
        <f aca="false">IF(A426="","",IFERROR(INDEX(Items!$B$5:$B$304,MATCH(D426,Items!$A$5:$A$304,0))&amp;"",""))</f>
        <v/>
      </c>
      <c r="J426" s="34" t="str">
        <f aca="false">IF(A426="","",IFERROR(INDEX(Items!$C$5:$C$304,MATCH(D426,Items!$A$5:$A$304,0))&amp;"",""))</f>
        <v/>
      </c>
      <c r="K426" s="35" t="n">
        <f aca="false">IF(A426="",0,IF(ISNUMBER(F426),F426,IFERROR(INDEX(Items!$D$5:$D$304,MATCH(D426,Items!$A$5:$A$304,0)),0)))</f>
        <v>0</v>
      </c>
      <c r="L426" s="35" t="n">
        <f aca="false">ROUND(N(E426)*K426*(1-N(G426)),2)</f>
        <v>0</v>
      </c>
      <c r="M426" s="36" t="n">
        <f aca="false">IF(A426="",0,IFERROR(INDEX(Items!$E$5:$E$304,MATCH(D426,Items!$A$5:$A$304,0)),0))</f>
        <v>0</v>
      </c>
      <c r="N426" s="37" t="str">
        <f aca="false">IF(A426="","",IFERROR(INDEX(Customers!$E$5:$E$204,MATCH(C426,Customers!$A$5:$A$204,0)),"?"))</f>
        <v/>
      </c>
      <c r="O426" s="38" t="str">
        <f aca="false">IF(A426="","",IF(N426=Settings!$B$17,"No","Yes"))</f>
        <v/>
      </c>
      <c r="P426" s="35" t="n">
        <f aca="false">IF(O426="Yes",ROUND(L426*M426,2),0)</f>
        <v>0</v>
      </c>
      <c r="Q426" s="35" t="n">
        <f aca="false">IF(O426="No",ROUND(L426*M426/2,2),0)</f>
        <v>0</v>
      </c>
      <c r="R426" s="35" t="n">
        <f aca="false">Q426</f>
        <v>0</v>
      </c>
      <c r="S426" s="35" t="n">
        <f aca="false">L426+P426+Q426+R426</f>
        <v>0</v>
      </c>
      <c r="T426" s="34" t="str">
        <f aca="false">IF(A426="","",IFERROR(INDEX(Customers!$B$5:$B$204,MATCH(C426,Customers!$A$5:$A$204,0))&amp;"",""))</f>
        <v/>
      </c>
      <c r="U426" s="38" t="str">
        <f aca="false">IF(A426="","",IF(T426&lt;&gt;"","B2B",IF(AND(O426="Yes",SUMIF($A$5:$A$1004,A426,$L$5:$L$1004)+SUMIF($A$5:$A$1004,A426,$P$5:$P$1004)&gt;100000),"B2CL","B2CS")))</f>
        <v/>
      </c>
      <c r="V426" s="17" t="str">
        <f aca="false">IF(A426="","",TEXT(B426,"mmm-yyyy"))</f>
        <v/>
      </c>
    </row>
    <row r="427" customFormat="false" ht="15" hidden="false" customHeight="true" outlineLevel="0" collapsed="false">
      <c r="A427" s="24"/>
      <c r="B427" s="39"/>
      <c r="C427" s="24"/>
      <c r="D427" s="24"/>
      <c r="E427" s="40"/>
      <c r="F427" s="29"/>
      <c r="G427" s="30"/>
      <c r="H427" s="17" t="str">
        <f aca="false">IF(A427="","",A427&amp;"|"&amp;COUNTIF(A$5:A427,A427))</f>
        <v/>
      </c>
      <c r="I427" s="33" t="str">
        <f aca="false">IF(A427="","",IFERROR(INDEX(Items!$B$5:$B$304,MATCH(D427,Items!$A$5:$A$304,0))&amp;"",""))</f>
        <v/>
      </c>
      <c r="J427" s="34" t="str">
        <f aca="false">IF(A427="","",IFERROR(INDEX(Items!$C$5:$C$304,MATCH(D427,Items!$A$5:$A$304,0))&amp;"",""))</f>
        <v/>
      </c>
      <c r="K427" s="35" t="n">
        <f aca="false">IF(A427="",0,IF(ISNUMBER(F427),F427,IFERROR(INDEX(Items!$D$5:$D$304,MATCH(D427,Items!$A$5:$A$304,0)),0)))</f>
        <v>0</v>
      </c>
      <c r="L427" s="35" t="n">
        <f aca="false">ROUND(N(E427)*K427*(1-N(G427)),2)</f>
        <v>0</v>
      </c>
      <c r="M427" s="36" t="n">
        <f aca="false">IF(A427="",0,IFERROR(INDEX(Items!$E$5:$E$304,MATCH(D427,Items!$A$5:$A$304,0)),0))</f>
        <v>0</v>
      </c>
      <c r="N427" s="37" t="str">
        <f aca="false">IF(A427="","",IFERROR(INDEX(Customers!$E$5:$E$204,MATCH(C427,Customers!$A$5:$A$204,0)),"?"))</f>
        <v/>
      </c>
      <c r="O427" s="38" t="str">
        <f aca="false">IF(A427="","",IF(N427=Settings!$B$17,"No","Yes"))</f>
        <v/>
      </c>
      <c r="P427" s="35" t="n">
        <f aca="false">IF(O427="Yes",ROUND(L427*M427,2),0)</f>
        <v>0</v>
      </c>
      <c r="Q427" s="35" t="n">
        <f aca="false">IF(O427="No",ROUND(L427*M427/2,2),0)</f>
        <v>0</v>
      </c>
      <c r="R427" s="35" t="n">
        <f aca="false">Q427</f>
        <v>0</v>
      </c>
      <c r="S427" s="35" t="n">
        <f aca="false">L427+P427+Q427+R427</f>
        <v>0</v>
      </c>
      <c r="T427" s="34" t="str">
        <f aca="false">IF(A427="","",IFERROR(INDEX(Customers!$B$5:$B$204,MATCH(C427,Customers!$A$5:$A$204,0))&amp;"",""))</f>
        <v/>
      </c>
      <c r="U427" s="38" t="str">
        <f aca="false">IF(A427="","",IF(T427&lt;&gt;"","B2B",IF(AND(O427="Yes",SUMIF($A$5:$A$1004,A427,$L$5:$L$1004)+SUMIF($A$5:$A$1004,A427,$P$5:$P$1004)&gt;100000),"B2CL","B2CS")))</f>
        <v/>
      </c>
      <c r="V427" s="17" t="str">
        <f aca="false">IF(A427="","",TEXT(B427,"mmm-yyyy"))</f>
        <v/>
      </c>
    </row>
    <row r="428" customFormat="false" ht="15" hidden="false" customHeight="true" outlineLevel="0" collapsed="false">
      <c r="A428" s="24"/>
      <c r="B428" s="39"/>
      <c r="C428" s="24"/>
      <c r="D428" s="24"/>
      <c r="E428" s="40"/>
      <c r="F428" s="29"/>
      <c r="G428" s="30"/>
      <c r="H428" s="17" t="str">
        <f aca="false">IF(A428="","",A428&amp;"|"&amp;COUNTIF(A$5:A428,A428))</f>
        <v/>
      </c>
      <c r="I428" s="33" t="str">
        <f aca="false">IF(A428="","",IFERROR(INDEX(Items!$B$5:$B$304,MATCH(D428,Items!$A$5:$A$304,0))&amp;"",""))</f>
        <v/>
      </c>
      <c r="J428" s="34" t="str">
        <f aca="false">IF(A428="","",IFERROR(INDEX(Items!$C$5:$C$304,MATCH(D428,Items!$A$5:$A$304,0))&amp;"",""))</f>
        <v/>
      </c>
      <c r="K428" s="35" t="n">
        <f aca="false">IF(A428="",0,IF(ISNUMBER(F428),F428,IFERROR(INDEX(Items!$D$5:$D$304,MATCH(D428,Items!$A$5:$A$304,0)),0)))</f>
        <v>0</v>
      </c>
      <c r="L428" s="35" t="n">
        <f aca="false">ROUND(N(E428)*K428*(1-N(G428)),2)</f>
        <v>0</v>
      </c>
      <c r="M428" s="36" t="n">
        <f aca="false">IF(A428="",0,IFERROR(INDEX(Items!$E$5:$E$304,MATCH(D428,Items!$A$5:$A$304,0)),0))</f>
        <v>0</v>
      </c>
      <c r="N428" s="37" t="str">
        <f aca="false">IF(A428="","",IFERROR(INDEX(Customers!$E$5:$E$204,MATCH(C428,Customers!$A$5:$A$204,0)),"?"))</f>
        <v/>
      </c>
      <c r="O428" s="38" t="str">
        <f aca="false">IF(A428="","",IF(N428=Settings!$B$17,"No","Yes"))</f>
        <v/>
      </c>
      <c r="P428" s="35" t="n">
        <f aca="false">IF(O428="Yes",ROUND(L428*M428,2),0)</f>
        <v>0</v>
      </c>
      <c r="Q428" s="35" t="n">
        <f aca="false">IF(O428="No",ROUND(L428*M428/2,2),0)</f>
        <v>0</v>
      </c>
      <c r="R428" s="35" t="n">
        <f aca="false">Q428</f>
        <v>0</v>
      </c>
      <c r="S428" s="35" t="n">
        <f aca="false">L428+P428+Q428+R428</f>
        <v>0</v>
      </c>
      <c r="T428" s="34" t="str">
        <f aca="false">IF(A428="","",IFERROR(INDEX(Customers!$B$5:$B$204,MATCH(C428,Customers!$A$5:$A$204,0))&amp;"",""))</f>
        <v/>
      </c>
      <c r="U428" s="38" t="str">
        <f aca="false">IF(A428="","",IF(T428&lt;&gt;"","B2B",IF(AND(O428="Yes",SUMIF($A$5:$A$1004,A428,$L$5:$L$1004)+SUMIF($A$5:$A$1004,A428,$P$5:$P$1004)&gt;100000),"B2CL","B2CS")))</f>
        <v/>
      </c>
      <c r="V428" s="17" t="str">
        <f aca="false">IF(A428="","",TEXT(B428,"mmm-yyyy"))</f>
        <v/>
      </c>
    </row>
    <row r="429" customFormat="false" ht="15" hidden="false" customHeight="true" outlineLevel="0" collapsed="false">
      <c r="A429" s="24"/>
      <c r="B429" s="39"/>
      <c r="C429" s="24"/>
      <c r="D429" s="24"/>
      <c r="E429" s="40"/>
      <c r="F429" s="29"/>
      <c r="G429" s="30"/>
      <c r="H429" s="17" t="str">
        <f aca="false">IF(A429="","",A429&amp;"|"&amp;COUNTIF(A$5:A429,A429))</f>
        <v/>
      </c>
      <c r="I429" s="33" t="str">
        <f aca="false">IF(A429="","",IFERROR(INDEX(Items!$B$5:$B$304,MATCH(D429,Items!$A$5:$A$304,0))&amp;"",""))</f>
        <v/>
      </c>
      <c r="J429" s="34" t="str">
        <f aca="false">IF(A429="","",IFERROR(INDEX(Items!$C$5:$C$304,MATCH(D429,Items!$A$5:$A$304,0))&amp;"",""))</f>
        <v/>
      </c>
      <c r="K429" s="35" t="n">
        <f aca="false">IF(A429="",0,IF(ISNUMBER(F429),F429,IFERROR(INDEX(Items!$D$5:$D$304,MATCH(D429,Items!$A$5:$A$304,0)),0)))</f>
        <v>0</v>
      </c>
      <c r="L429" s="35" t="n">
        <f aca="false">ROUND(N(E429)*K429*(1-N(G429)),2)</f>
        <v>0</v>
      </c>
      <c r="M429" s="36" t="n">
        <f aca="false">IF(A429="",0,IFERROR(INDEX(Items!$E$5:$E$304,MATCH(D429,Items!$A$5:$A$304,0)),0))</f>
        <v>0</v>
      </c>
      <c r="N429" s="37" t="str">
        <f aca="false">IF(A429="","",IFERROR(INDEX(Customers!$E$5:$E$204,MATCH(C429,Customers!$A$5:$A$204,0)),"?"))</f>
        <v/>
      </c>
      <c r="O429" s="38" t="str">
        <f aca="false">IF(A429="","",IF(N429=Settings!$B$17,"No","Yes"))</f>
        <v/>
      </c>
      <c r="P429" s="35" t="n">
        <f aca="false">IF(O429="Yes",ROUND(L429*M429,2),0)</f>
        <v>0</v>
      </c>
      <c r="Q429" s="35" t="n">
        <f aca="false">IF(O429="No",ROUND(L429*M429/2,2),0)</f>
        <v>0</v>
      </c>
      <c r="R429" s="35" t="n">
        <f aca="false">Q429</f>
        <v>0</v>
      </c>
      <c r="S429" s="35" t="n">
        <f aca="false">L429+P429+Q429+R429</f>
        <v>0</v>
      </c>
      <c r="T429" s="34" t="str">
        <f aca="false">IF(A429="","",IFERROR(INDEX(Customers!$B$5:$B$204,MATCH(C429,Customers!$A$5:$A$204,0))&amp;"",""))</f>
        <v/>
      </c>
      <c r="U429" s="38" t="str">
        <f aca="false">IF(A429="","",IF(T429&lt;&gt;"","B2B",IF(AND(O429="Yes",SUMIF($A$5:$A$1004,A429,$L$5:$L$1004)+SUMIF($A$5:$A$1004,A429,$P$5:$P$1004)&gt;100000),"B2CL","B2CS")))</f>
        <v/>
      </c>
      <c r="V429" s="17" t="str">
        <f aca="false">IF(A429="","",TEXT(B429,"mmm-yyyy"))</f>
        <v/>
      </c>
    </row>
    <row r="430" customFormat="false" ht="15" hidden="false" customHeight="true" outlineLevel="0" collapsed="false">
      <c r="A430" s="24"/>
      <c r="B430" s="39"/>
      <c r="C430" s="24"/>
      <c r="D430" s="24"/>
      <c r="E430" s="40"/>
      <c r="F430" s="29"/>
      <c r="G430" s="30"/>
      <c r="H430" s="17" t="str">
        <f aca="false">IF(A430="","",A430&amp;"|"&amp;COUNTIF(A$5:A430,A430))</f>
        <v/>
      </c>
      <c r="I430" s="33" t="str">
        <f aca="false">IF(A430="","",IFERROR(INDEX(Items!$B$5:$B$304,MATCH(D430,Items!$A$5:$A$304,0))&amp;"",""))</f>
        <v/>
      </c>
      <c r="J430" s="34" t="str">
        <f aca="false">IF(A430="","",IFERROR(INDEX(Items!$C$5:$C$304,MATCH(D430,Items!$A$5:$A$304,0))&amp;"",""))</f>
        <v/>
      </c>
      <c r="K430" s="35" t="n">
        <f aca="false">IF(A430="",0,IF(ISNUMBER(F430),F430,IFERROR(INDEX(Items!$D$5:$D$304,MATCH(D430,Items!$A$5:$A$304,0)),0)))</f>
        <v>0</v>
      </c>
      <c r="L430" s="35" t="n">
        <f aca="false">ROUND(N(E430)*K430*(1-N(G430)),2)</f>
        <v>0</v>
      </c>
      <c r="M430" s="36" t="n">
        <f aca="false">IF(A430="",0,IFERROR(INDEX(Items!$E$5:$E$304,MATCH(D430,Items!$A$5:$A$304,0)),0))</f>
        <v>0</v>
      </c>
      <c r="N430" s="37" t="str">
        <f aca="false">IF(A430="","",IFERROR(INDEX(Customers!$E$5:$E$204,MATCH(C430,Customers!$A$5:$A$204,0)),"?"))</f>
        <v/>
      </c>
      <c r="O430" s="38" t="str">
        <f aca="false">IF(A430="","",IF(N430=Settings!$B$17,"No","Yes"))</f>
        <v/>
      </c>
      <c r="P430" s="35" t="n">
        <f aca="false">IF(O430="Yes",ROUND(L430*M430,2),0)</f>
        <v>0</v>
      </c>
      <c r="Q430" s="35" t="n">
        <f aca="false">IF(O430="No",ROUND(L430*M430/2,2),0)</f>
        <v>0</v>
      </c>
      <c r="R430" s="35" t="n">
        <f aca="false">Q430</f>
        <v>0</v>
      </c>
      <c r="S430" s="35" t="n">
        <f aca="false">L430+P430+Q430+R430</f>
        <v>0</v>
      </c>
      <c r="T430" s="34" t="str">
        <f aca="false">IF(A430="","",IFERROR(INDEX(Customers!$B$5:$B$204,MATCH(C430,Customers!$A$5:$A$204,0))&amp;"",""))</f>
        <v/>
      </c>
      <c r="U430" s="38" t="str">
        <f aca="false">IF(A430="","",IF(T430&lt;&gt;"","B2B",IF(AND(O430="Yes",SUMIF($A$5:$A$1004,A430,$L$5:$L$1004)+SUMIF($A$5:$A$1004,A430,$P$5:$P$1004)&gt;100000),"B2CL","B2CS")))</f>
        <v/>
      </c>
      <c r="V430" s="17" t="str">
        <f aca="false">IF(A430="","",TEXT(B430,"mmm-yyyy"))</f>
        <v/>
      </c>
    </row>
    <row r="431" customFormat="false" ht="15" hidden="false" customHeight="true" outlineLevel="0" collapsed="false">
      <c r="A431" s="24"/>
      <c r="B431" s="39"/>
      <c r="C431" s="24"/>
      <c r="D431" s="24"/>
      <c r="E431" s="40"/>
      <c r="F431" s="29"/>
      <c r="G431" s="30"/>
      <c r="H431" s="17" t="str">
        <f aca="false">IF(A431="","",A431&amp;"|"&amp;COUNTIF(A$5:A431,A431))</f>
        <v/>
      </c>
      <c r="I431" s="33" t="str">
        <f aca="false">IF(A431="","",IFERROR(INDEX(Items!$B$5:$B$304,MATCH(D431,Items!$A$5:$A$304,0))&amp;"",""))</f>
        <v/>
      </c>
      <c r="J431" s="34" t="str">
        <f aca="false">IF(A431="","",IFERROR(INDEX(Items!$C$5:$C$304,MATCH(D431,Items!$A$5:$A$304,0))&amp;"",""))</f>
        <v/>
      </c>
      <c r="K431" s="35" t="n">
        <f aca="false">IF(A431="",0,IF(ISNUMBER(F431),F431,IFERROR(INDEX(Items!$D$5:$D$304,MATCH(D431,Items!$A$5:$A$304,0)),0)))</f>
        <v>0</v>
      </c>
      <c r="L431" s="35" t="n">
        <f aca="false">ROUND(N(E431)*K431*(1-N(G431)),2)</f>
        <v>0</v>
      </c>
      <c r="M431" s="36" t="n">
        <f aca="false">IF(A431="",0,IFERROR(INDEX(Items!$E$5:$E$304,MATCH(D431,Items!$A$5:$A$304,0)),0))</f>
        <v>0</v>
      </c>
      <c r="N431" s="37" t="str">
        <f aca="false">IF(A431="","",IFERROR(INDEX(Customers!$E$5:$E$204,MATCH(C431,Customers!$A$5:$A$204,0)),"?"))</f>
        <v/>
      </c>
      <c r="O431" s="38" t="str">
        <f aca="false">IF(A431="","",IF(N431=Settings!$B$17,"No","Yes"))</f>
        <v/>
      </c>
      <c r="P431" s="35" t="n">
        <f aca="false">IF(O431="Yes",ROUND(L431*M431,2),0)</f>
        <v>0</v>
      </c>
      <c r="Q431" s="35" t="n">
        <f aca="false">IF(O431="No",ROUND(L431*M431/2,2),0)</f>
        <v>0</v>
      </c>
      <c r="R431" s="35" t="n">
        <f aca="false">Q431</f>
        <v>0</v>
      </c>
      <c r="S431" s="35" t="n">
        <f aca="false">L431+P431+Q431+R431</f>
        <v>0</v>
      </c>
      <c r="T431" s="34" t="str">
        <f aca="false">IF(A431="","",IFERROR(INDEX(Customers!$B$5:$B$204,MATCH(C431,Customers!$A$5:$A$204,0))&amp;"",""))</f>
        <v/>
      </c>
      <c r="U431" s="38" t="str">
        <f aca="false">IF(A431="","",IF(T431&lt;&gt;"","B2B",IF(AND(O431="Yes",SUMIF($A$5:$A$1004,A431,$L$5:$L$1004)+SUMIF($A$5:$A$1004,A431,$P$5:$P$1004)&gt;100000),"B2CL","B2CS")))</f>
        <v/>
      </c>
      <c r="V431" s="17" t="str">
        <f aca="false">IF(A431="","",TEXT(B431,"mmm-yyyy"))</f>
        <v/>
      </c>
    </row>
    <row r="432" customFormat="false" ht="15" hidden="false" customHeight="true" outlineLevel="0" collapsed="false">
      <c r="A432" s="24"/>
      <c r="B432" s="39"/>
      <c r="C432" s="24"/>
      <c r="D432" s="24"/>
      <c r="E432" s="40"/>
      <c r="F432" s="29"/>
      <c r="G432" s="30"/>
      <c r="H432" s="17" t="str">
        <f aca="false">IF(A432="","",A432&amp;"|"&amp;COUNTIF(A$5:A432,A432))</f>
        <v/>
      </c>
      <c r="I432" s="33" t="str">
        <f aca="false">IF(A432="","",IFERROR(INDEX(Items!$B$5:$B$304,MATCH(D432,Items!$A$5:$A$304,0))&amp;"",""))</f>
        <v/>
      </c>
      <c r="J432" s="34" t="str">
        <f aca="false">IF(A432="","",IFERROR(INDEX(Items!$C$5:$C$304,MATCH(D432,Items!$A$5:$A$304,0))&amp;"",""))</f>
        <v/>
      </c>
      <c r="K432" s="35" t="n">
        <f aca="false">IF(A432="",0,IF(ISNUMBER(F432),F432,IFERROR(INDEX(Items!$D$5:$D$304,MATCH(D432,Items!$A$5:$A$304,0)),0)))</f>
        <v>0</v>
      </c>
      <c r="L432" s="35" t="n">
        <f aca="false">ROUND(N(E432)*K432*(1-N(G432)),2)</f>
        <v>0</v>
      </c>
      <c r="M432" s="36" t="n">
        <f aca="false">IF(A432="",0,IFERROR(INDEX(Items!$E$5:$E$304,MATCH(D432,Items!$A$5:$A$304,0)),0))</f>
        <v>0</v>
      </c>
      <c r="N432" s="37" t="str">
        <f aca="false">IF(A432="","",IFERROR(INDEX(Customers!$E$5:$E$204,MATCH(C432,Customers!$A$5:$A$204,0)),"?"))</f>
        <v/>
      </c>
      <c r="O432" s="38" t="str">
        <f aca="false">IF(A432="","",IF(N432=Settings!$B$17,"No","Yes"))</f>
        <v/>
      </c>
      <c r="P432" s="35" t="n">
        <f aca="false">IF(O432="Yes",ROUND(L432*M432,2),0)</f>
        <v>0</v>
      </c>
      <c r="Q432" s="35" t="n">
        <f aca="false">IF(O432="No",ROUND(L432*M432/2,2),0)</f>
        <v>0</v>
      </c>
      <c r="R432" s="35" t="n">
        <f aca="false">Q432</f>
        <v>0</v>
      </c>
      <c r="S432" s="35" t="n">
        <f aca="false">L432+P432+Q432+R432</f>
        <v>0</v>
      </c>
      <c r="T432" s="34" t="str">
        <f aca="false">IF(A432="","",IFERROR(INDEX(Customers!$B$5:$B$204,MATCH(C432,Customers!$A$5:$A$204,0))&amp;"",""))</f>
        <v/>
      </c>
      <c r="U432" s="38" t="str">
        <f aca="false">IF(A432="","",IF(T432&lt;&gt;"","B2B",IF(AND(O432="Yes",SUMIF($A$5:$A$1004,A432,$L$5:$L$1004)+SUMIF($A$5:$A$1004,A432,$P$5:$P$1004)&gt;100000),"B2CL","B2CS")))</f>
        <v/>
      </c>
      <c r="V432" s="17" t="str">
        <f aca="false">IF(A432="","",TEXT(B432,"mmm-yyyy"))</f>
        <v/>
      </c>
    </row>
    <row r="433" customFormat="false" ht="15" hidden="false" customHeight="true" outlineLevel="0" collapsed="false">
      <c r="A433" s="24"/>
      <c r="B433" s="39"/>
      <c r="C433" s="24"/>
      <c r="D433" s="24"/>
      <c r="E433" s="40"/>
      <c r="F433" s="29"/>
      <c r="G433" s="30"/>
      <c r="H433" s="17" t="str">
        <f aca="false">IF(A433="","",A433&amp;"|"&amp;COUNTIF(A$5:A433,A433))</f>
        <v/>
      </c>
      <c r="I433" s="33" t="str">
        <f aca="false">IF(A433="","",IFERROR(INDEX(Items!$B$5:$B$304,MATCH(D433,Items!$A$5:$A$304,0))&amp;"",""))</f>
        <v/>
      </c>
      <c r="J433" s="34" t="str">
        <f aca="false">IF(A433="","",IFERROR(INDEX(Items!$C$5:$C$304,MATCH(D433,Items!$A$5:$A$304,0))&amp;"",""))</f>
        <v/>
      </c>
      <c r="K433" s="35" t="n">
        <f aca="false">IF(A433="",0,IF(ISNUMBER(F433),F433,IFERROR(INDEX(Items!$D$5:$D$304,MATCH(D433,Items!$A$5:$A$304,0)),0)))</f>
        <v>0</v>
      </c>
      <c r="L433" s="35" t="n">
        <f aca="false">ROUND(N(E433)*K433*(1-N(G433)),2)</f>
        <v>0</v>
      </c>
      <c r="M433" s="36" t="n">
        <f aca="false">IF(A433="",0,IFERROR(INDEX(Items!$E$5:$E$304,MATCH(D433,Items!$A$5:$A$304,0)),0))</f>
        <v>0</v>
      </c>
      <c r="N433" s="37" t="str">
        <f aca="false">IF(A433="","",IFERROR(INDEX(Customers!$E$5:$E$204,MATCH(C433,Customers!$A$5:$A$204,0)),"?"))</f>
        <v/>
      </c>
      <c r="O433" s="38" t="str">
        <f aca="false">IF(A433="","",IF(N433=Settings!$B$17,"No","Yes"))</f>
        <v/>
      </c>
      <c r="P433" s="35" t="n">
        <f aca="false">IF(O433="Yes",ROUND(L433*M433,2),0)</f>
        <v>0</v>
      </c>
      <c r="Q433" s="35" t="n">
        <f aca="false">IF(O433="No",ROUND(L433*M433/2,2),0)</f>
        <v>0</v>
      </c>
      <c r="R433" s="35" t="n">
        <f aca="false">Q433</f>
        <v>0</v>
      </c>
      <c r="S433" s="35" t="n">
        <f aca="false">L433+P433+Q433+R433</f>
        <v>0</v>
      </c>
      <c r="T433" s="34" t="str">
        <f aca="false">IF(A433="","",IFERROR(INDEX(Customers!$B$5:$B$204,MATCH(C433,Customers!$A$5:$A$204,0))&amp;"",""))</f>
        <v/>
      </c>
      <c r="U433" s="38" t="str">
        <f aca="false">IF(A433="","",IF(T433&lt;&gt;"","B2B",IF(AND(O433="Yes",SUMIF($A$5:$A$1004,A433,$L$5:$L$1004)+SUMIF($A$5:$A$1004,A433,$P$5:$P$1004)&gt;100000),"B2CL","B2CS")))</f>
        <v/>
      </c>
      <c r="V433" s="17" t="str">
        <f aca="false">IF(A433="","",TEXT(B433,"mmm-yyyy"))</f>
        <v/>
      </c>
    </row>
    <row r="434" customFormat="false" ht="15" hidden="false" customHeight="true" outlineLevel="0" collapsed="false">
      <c r="A434" s="24"/>
      <c r="B434" s="39"/>
      <c r="C434" s="24"/>
      <c r="D434" s="24"/>
      <c r="E434" s="40"/>
      <c r="F434" s="29"/>
      <c r="G434" s="30"/>
      <c r="H434" s="17" t="str">
        <f aca="false">IF(A434="","",A434&amp;"|"&amp;COUNTIF(A$5:A434,A434))</f>
        <v/>
      </c>
      <c r="I434" s="33" t="str">
        <f aca="false">IF(A434="","",IFERROR(INDEX(Items!$B$5:$B$304,MATCH(D434,Items!$A$5:$A$304,0))&amp;"",""))</f>
        <v/>
      </c>
      <c r="J434" s="34" t="str">
        <f aca="false">IF(A434="","",IFERROR(INDEX(Items!$C$5:$C$304,MATCH(D434,Items!$A$5:$A$304,0))&amp;"",""))</f>
        <v/>
      </c>
      <c r="K434" s="35" t="n">
        <f aca="false">IF(A434="",0,IF(ISNUMBER(F434),F434,IFERROR(INDEX(Items!$D$5:$D$304,MATCH(D434,Items!$A$5:$A$304,0)),0)))</f>
        <v>0</v>
      </c>
      <c r="L434" s="35" t="n">
        <f aca="false">ROUND(N(E434)*K434*(1-N(G434)),2)</f>
        <v>0</v>
      </c>
      <c r="M434" s="36" t="n">
        <f aca="false">IF(A434="",0,IFERROR(INDEX(Items!$E$5:$E$304,MATCH(D434,Items!$A$5:$A$304,0)),0))</f>
        <v>0</v>
      </c>
      <c r="N434" s="37" t="str">
        <f aca="false">IF(A434="","",IFERROR(INDEX(Customers!$E$5:$E$204,MATCH(C434,Customers!$A$5:$A$204,0)),"?"))</f>
        <v/>
      </c>
      <c r="O434" s="38" t="str">
        <f aca="false">IF(A434="","",IF(N434=Settings!$B$17,"No","Yes"))</f>
        <v/>
      </c>
      <c r="P434" s="35" t="n">
        <f aca="false">IF(O434="Yes",ROUND(L434*M434,2),0)</f>
        <v>0</v>
      </c>
      <c r="Q434" s="35" t="n">
        <f aca="false">IF(O434="No",ROUND(L434*M434/2,2),0)</f>
        <v>0</v>
      </c>
      <c r="R434" s="35" t="n">
        <f aca="false">Q434</f>
        <v>0</v>
      </c>
      <c r="S434" s="35" t="n">
        <f aca="false">L434+P434+Q434+R434</f>
        <v>0</v>
      </c>
      <c r="T434" s="34" t="str">
        <f aca="false">IF(A434="","",IFERROR(INDEX(Customers!$B$5:$B$204,MATCH(C434,Customers!$A$5:$A$204,0))&amp;"",""))</f>
        <v/>
      </c>
      <c r="U434" s="38" t="str">
        <f aca="false">IF(A434="","",IF(T434&lt;&gt;"","B2B",IF(AND(O434="Yes",SUMIF($A$5:$A$1004,A434,$L$5:$L$1004)+SUMIF($A$5:$A$1004,A434,$P$5:$P$1004)&gt;100000),"B2CL","B2CS")))</f>
        <v/>
      </c>
      <c r="V434" s="17" t="str">
        <f aca="false">IF(A434="","",TEXT(B434,"mmm-yyyy"))</f>
        <v/>
      </c>
    </row>
    <row r="435" customFormat="false" ht="15" hidden="false" customHeight="true" outlineLevel="0" collapsed="false">
      <c r="A435" s="24"/>
      <c r="B435" s="39"/>
      <c r="C435" s="24"/>
      <c r="D435" s="24"/>
      <c r="E435" s="40"/>
      <c r="F435" s="29"/>
      <c r="G435" s="30"/>
      <c r="H435" s="17" t="str">
        <f aca="false">IF(A435="","",A435&amp;"|"&amp;COUNTIF(A$5:A435,A435))</f>
        <v/>
      </c>
      <c r="I435" s="33" t="str">
        <f aca="false">IF(A435="","",IFERROR(INDEX(Items!$B$5:$B$304,MATCH(D435,Items!$A$5:$A$304,0))&amp;"",""))</f>
        <v/>
      </c>
      <c r="J435" s="34" t="str">
        <f aca="false">IF(A435="","",IFERROR(INDEX(Items!$C$5:$C$304,MATCH(D435,Items!$A$5:$A$304,0))&amp;"",""))</f>
        <v/>
      </c>
      <c r="K435" s="35" t="n">
        <f aca="false">IF(A435="",0,IF(ISNUMBER(F435),F435,IFERROR(INDEX(Items!$D$5:$D$304,MATCH(D435,Items!$A$5:$A$304,0)),0)))</f>
        <v>0</v>
      </c>
      <c r="L435" s="35" t="n">
        <f aca="false">ROUND(N(E435)*K435*(1-N(G435)),2)</f>
        <v>0</v>
      </c>
      <c r="M435" s="36" t="n">
        <f aca="false">IF(A435="",0,IFERROR(INDEX(Items!$E$5:$E$304,MATCH(D435,Items!$A$5:$A$304,0)),0))</f>
        <v>0</v>
      </c>
      <c r="N435" s="37" t="str">
        <f aca="false">IF(A435="","",IFERROR(INDEX(Customers!$E$5:$E$204,MATCH(C435,Customers!$A$5:$A$204,0)),"?"))</f>
        <v/>
      </c>
      <c r="O435" s="38" t="str">
        <f aca="false">IF(A435="","",IF(N435=Settings!$B$17,"No","Yes"))</f>
        <v/>
      </c>
      <c r="P435" s="35" t="n">
        <f aca="false">IF(O435="Yes",ROUND(L435*M435,2),0)</f>
        <v>0</v>
      </c>
      <c r="Q435" s="35" t="n">
        <f aca="false">IF(O435="No",ROUND(L435*M435/2,2),0)</f>
        <v>0</v>
      </c>
      <c r="R435" s="35" t="n">
        <f aca="false">Q435</f>
        <v>0</v>
      </c>
      <c r="S435" s="35" t="n">
        <f aca="false">L435+P435+Q435+R435</f>
        <v>0</v>
      </c>
      <c r="T435" s="34" t="str">
        <f aca="false">IF(A435="","",IFERROR(INDEX(Customers!$B$5:$B$204,MATCH(C435,Customers!$A$5:$A$204,0))&amp;"",""))</f>
        <v/>
      </c>
      <c r="U435" s="38" t="str">
        <f aca="false">IF(A435="","",IF(T435&lt;&gt;"","B2B",IF(AND(O435="Yes",SUMIF($A$5:$A$1004,A435,$L$5:$L$1004)+SUMIF($A$5:$A$1004,A435,$P$5:$P$1004)&gt;100000),"B2CL","B2CS")))</f>
        <v/>
      </c>
      <c r="V435" s="17" t="str">
        <f aca="false">IF(A435="","",TEXT(B435,"mmm-yyyy"))</f>
        <v/>
      </c>
    </row>
    <row r="436" customFormat="false" ht="15" hidden="false" customHeight="true" outlineLevel="0" collapsed="false">
      <c r="A436" s="24"/>
      <c r="B436" s="39"/>
      <c r="C436" s="24"/>
      <c r="D436" s="24"/>
      <c r="E436" s="40"/>
      <c r="F436" s="29"/>
      <c r="G436" s="30"/>
      <c r="H436" s="17" t="str">
        <f aca="false">IF(A436="","",A436&amp;"|"&amp;COUNTIF(A$5:A436,A436))</f>
        <v/>
      </c>
      <c r="I436" s="33" t="str">
        <f aca="false">IF(A436="","",IFERROR(INDEX(Items!$B$5:$B$304,MATCH(D436,Items!$A$5:$A$304,0))&amp;"",""))</f>
        <v/>
      </c>
      <c r="J436" s="34" t="str">
        <f aca="false">IF(A436="","",IFERROR(INDEX(Items!$C$5:$C$304,MATCH(D436,Items!$A$5:$A$304,0))&amp;"",""))</f>
        <v/>
      </c>
      <c r="K436" s="35" t="n">
        <f aca="false">IF(A436="",0,IF(ISNUMBER(F436),F436,IFERROR(INDEX(Items!$D$5:$D$304,MATCH(D436,Items!$A$5:$A$304,0)),0)))</f>
        <v>0</v>
      </c>
      <c r="L436" s="35" t="n">
        <f aca="false">ROUND(N(E436)*K436*(1-N(G436)),2)</f>
        <v>0</v>
      </c>
      <c r="M436" s="36" t="n">
        <f aca="false">IF(A436="",0,IFERROR(INDEX(Items!$E$5:$E$304,MATCH(D436,Items!$A$5:$A$304,0)),0))</f>
        <v>0</v>
      </c>
      <c r="N436" s="37" t="str">
        <f aca="false">IF(A436="","",IFERROR(INDEX(Customers!$E$5:$E$204,MATCH(C436,Customers!$A$5:$A$204,0)),"?"))</f>
        <v/>
      </c>
      <c r="O436" s="38" t="str">
        <f aca="false">IF(A436="","",IF(N436=Settings!$B$17,"No","Yes"))</f>
        <v/>
      </c>
      <c r="P436" s="35" t="n">
        <f aca="false">IF(O436="Yes",ROUND(L436*M436,2),0)</f>
        <v>0</v>
      </c>
      <c r="Q436" s="35" t="n">
        <f aca="false">IF(O436="No",ROUND(L436*M436/2,2),0)</f>
        <v>0</v>
      </c>
      <c r="R436" s="35" t="n">
        <f aca="false">Q436</f>
        <v>0</v>
      </c>
      <c r="S436" s="35" t="n">
        <f aca="false">L436+P436+Q436+R436</f>
        <v>0</v>
      </c>
      <c r="T436" s="34" t="str">
        <f aca="false">IF(A436="","",IFERROR(INDEX(Customers!$B$5:$B$204,MATCH(C436,Customers!$A$5:$A$204,0))&amp;"",""))</f>
        <v/>
      </c>
      <c r="U436" s="38" t="str">
        <f aca="false">IF(A436="","",IF(T436&lt;&gt;"","B2B",IF(AND(O436="Yes",SUMIF($A$5:$A$1004,A436,$L$5:$L$1004)+SUMIF($A$5:$A$1004,A436,$P$5:$P$1004)&gt;100000),"B2CL","B2CS")))</f>
        <v/>
      </c>
      <c r="V436" s="17" t="str">
        <f aca="false">IF(A436="","",TEXT(B436,"mmm-yyyy"))</f>
        <v/>
      </c>
    </row>
    <row r="437" customFormat="false" ht="15" hidden="false" customHeight="true" outlineLevel="0" collapsed="false">
      <c r="A437" s="24"/>
      <c r="B437" s="39"/>
      <c r="C437" s="24"/>
      <c r="D437" s="24"/>
      <c r="E437" s="40"/>
      <c r="F437" s="29"/>
      <c r="G437" s="30"/>
      <c r="H437" s="17" t="str">
        <f aca="false">IF(A437="","",A437&amp;"|"&amp;COUNTIF(A$5:A437,A437))</f>
        <v/>
      </c>
      <c r="I437" s="33" t="str">
        <f aca="false">IF(A437="","",IFERROR(INDEX(Items!$B$5:$B$304,MATCH(D437,Items!$A$5:$A$304,0))&amp;"",""))</f>
        <v/>
      </c>
      <c r="J437" s="34" t="str">
        <f aca="false">IF(A437="","",IFERROR(INDEX(Items!$C$5:$C$304,MATCH(D437,Items!$A$5:$A$304,0))&amp;"",""))</f>
        <v/>
      </c>
      <c r="K437" s="35" t="n">
        <f aca="false">IF(A437="",0,IF(ISNUMBER(F437),F437,IFERROR(INDEX(Items!$D$5:$D$304,MATCH(D437,Items!$A$5:$A$304,0)),0)))</f>
        <v>0</v>
      </c>
      <c r="L437" s="35" t="n">
        <f aca="false">ROUND(N(E437)*K437*(1-N(G437)),2)</f>
        <v>0</v>
      </c>
      <c r="M437" s="36" t="n">
        <f aca="false">IF(A437="",0,IFERROR(INDEX(Items!$E$5:$E$304,MATCH(D437,Items!$A$5:$A$304,0)),0))</f>
        <v>0</v>
      </c>
      <c r="N437" s="37" t="str">
        <f aca="false">IF(A437="","",IFERROR(INDEX(Customers!$E$5:$E$204,MATCH(C437,Customers!$A$5:$A$204,0)),"?"))</f>
        <v/>
      </c>
      <c r="O437" s="38" t="str">
        <f aca="false">IF(A437="","",IF(N437=Settings!$B$17,"No","Yes"))</f>
        <v/>
      </c>
      <c r="P437" s="35" t="n">
        <f aca="false">IF(O437="Yes",ROUND(L437*M437,2),0)</f>
        <v>0</v>
      </c>
      <c r="Q437" s="35" t="n">
        <f aca="false">IF(O437="No",ROUND(L437*M437/2,2),0)</f>
        <v>0</v>
      </c>
      <c r="R437" s="35" t="n">
        <f aca="false">Q437</f>
        <v>0</v>
      </c>
      <c r="S437" s="35" t="n">
        <f aca="false">L437+P437+Q437+R437</f>
        <v>0</v>
      </c>
      <c r="T437" s="34" t="str">
        <f aca="false">IF(A437="","",IFERROR(INDEX(Customers!$B$5:$B$204,MATCH(C437,Customers!$A$5:$A$204,0))&amp;"",""))</f>
        <v/>
      </c>
      <c r="U437" s="38" t="str">
        <f aca="false">IF(A437="","",IF(T437&lt;&gt;"","B2B",IF(AND(O437="Yes",SUMIF($A$5:$A$1004,A437,$L$5:$L$1004)+SUMIF($A$5:$A$1004,A437,$P$5:$P$1004)&gt;100000),"B2CL","B2CS")))</f>
        <v/>
      </c>
      <c r="V437" s="17" t="str">
        <f aca="false">IF(A437="","",TEXT(B437,"mmm-yyyy"))</f>
        <v/>
      </c>
    </row>
    <row r="438" customFormat="false" ht="15" hidden="false" customHeight="true" outlineLevel="0" collapsed="false">
      <c r="A438" s="24"/>
      <c r="B438" s="39"/>
      <c r="C438" s="24"/>
      <c r="D438" s="24"/>
      <c r="E438" s="40"/>
      <c r="F438" s="29"/>
      <c r="G438" s="30"/>
      <c r="H438" s="17" t="str">
        <f aca="false">IF(A438="","",A438&amp;"|"&amp;COUNTIF(A$5:A438,A438))</f>
        <v/>
      </c>
      <c r="I438" s="33" t="str">
        <f aca="false">IF(A438="","",IFERROR(INDEX(Items!$B$5:$B$304,MATCH(D438,Items!$A$5:$A$304,0))&amp;"",""))</f>
        <v/>
      </c>
      <c r="J438" s="34" t="str">
        <f aca="false">IF(A438="","",IFERROR(INDEX(Items!$C$5:$C$304,MATCH(D438,Items!$A$5:$A$304,0))&amp;"",""))</f>
        <v/>
      </c>
      <c r="K438" s="35" t="n">
        <f aca="false">IF(A438="",0,IF(ISNUMBER(F438),F438,IFERROR(INDEX(Items!$D$5:$D$304,MATCH(D438,Items!$A$5:$A$304,0)),0)))</f>
        <v>0</v>
      </c>
      <c r="L438" s="35" t="n">
        <f aca="false">ROUND(N(E438)*K438*(1-N(G438)),2)</f>
        <v>0</v>
      </c>
      <c r="M438" s="36" t="n">
        <f aca="false">IF(A438="",0,IFERROR(INDEX(Items!$E$5:$E$304,MATCH(D438,Items!$A$5:$A$304,0)),0))</f>
        <v>0</v>
      </c>
      <c r="N438" s="37" t="str">
        <f aca="false">IF(A438="","",IFERROR(INDEX(Customers!$E$5:$E$204,MATCH(C438,Customers!$A$5:$A$204,0)),"?"))</f>
        <v/>
      </c>
      <c r="O438" s="38" t="str">
        <f aca="false">IF(A438="","",IF(N438=Settings!$B$17,"No","Yes"))</f>
        <v/>
      </c>
      <c r="P438" s="35" t="n">
        <f aca="false">IF(O438="Yes",ROUND(L438*M438,2),0)</f>
        <v>0</v>
      </c>
      <c r="Q438" s="35" t="n">
        <f aca="false">IF(O438="No",ROUND(L438*M438/2,2),0)</f>
        <v>0</v>
      </c>
      <c r="R438" s="35" t="n">
        <f aca="false">Q438</f>
        <v>0</v>
      </c>
      <c r="S438" s="35" t="n">
        <f aca="false">L438+P438+Q438+R438</f>
        <v>0</v>
      </c>
      <c r="T438" s="34" t="str">
        <f aca="false">IF(A438="","",IFERROR(INDEX(Customers!$B$5:$B$204,MATCH(C438,Customers!$A$5:$A$204,0))&amp;"",""))</f>
        <v/>
      </c>
      <c r="U438" s="38" t="str">
        <f aca="false">IF(A438="","",IF(T438&lt;&gt;"","B2B",IF(AND(O438="Yes",SUMIF($A$5:$A$1004,A438,$L$5:$L$1004)+SUMIF($A$5:$A$1004,A438,$P$5:$P$1004)&gt;100000),"B2CL","B2CS")))</f>
        <v/>
      </c>
      <c r="V438" s="17" t="str">
        <f aca="false">IF(A438="","",TEXT(B438,"mmm-yyyy"))</f>
        <v/>
      </c>
    </row>
    <row r="439" customFormat="false" ht="15" hidden="false" customHeight="true" outlineLevel="0" collapsed="false">
      <c r="A439" s="24"/>
      <c r="B439" s="39"/>
      <c r="C439" s="24"/>
      <c r="D439" s="24"/>
      <c r="E439" s="40"/>
      <c r="F439" s="29"/>
      <c r="G439" s="30"/>
      <c r="H439" s="17" t="str">
        <f aca="false">IF(A439="","",A439&amp;"|"&amp;COUNTIF(A$5:A439,A439))</f>
        <v/>
      </c>
      <c r="I439" s="33" t="str">
        <f aca="false">IF(A439="","",IFERROR(INDEX(Items!$B$5:$B$304,MATCH(D439,Items!$A$5:$A$304,0))&amp;"",""))</f>
        <v/>
      </c>
      <c r="J439" s="34" t="str">
        <f aca="false">IF(A439="","",IFERROR(INDEX(Items!$C$5:$C$304,MATCH(D439,Items!$A$5:$A$304,0))&amp;"",""))</f>
        <v/>
      </c>
      <c r="K439" s="35" t="n">
        <f aca="false">IF(A439="",0,IF(ISNUMBER(F439),F439,IFERROR(INDEX(Items!$D$5:$D$304,MATCH(D439,Items!$A$5:$A$304,0)),0)))</f>
        <v>0</v>
      </c>
      <c r="L439" s="35" t="n">
        <f aca="false">ROUND(N(E439)*K439*(1-N(G439)),2)</f>
        <v>0</v>
      </c>
      <c r="M439" s="36" t="n">
        <f aca="false">IF(A439="",0,IFERROR(INDEX(Items!$E$5:$E$304,MATCH(D439,Items!$A$5:$A$304,0)),0))</f>
        <v>0</v>
      </c>
      <c r="N439" s="37" t="str">
        <f aca="false">IF(A439="","",IFERROR(INDEX(Customers!$E$5:$E$204,MATCH(C439,Customers!$A$5:$A$204,0)),"?"))</f>
        <v/>
      </c>
      <c r="O439" s="38" t="str">
        <f aca="false">IF(A439="","",IF(N439=Settings!$B$17,"No","Yes"))</f>
        <v/>
      </c>
      <c r="P439" s="35" t="n">
        <f aca="false">IF(O439="Yes",ROUND(L439*M439,2),0)</f>
        <v>0</v>
      </c>
      <c r="Q439" s="35" t="n">
        <f aca="false">IF(O439="No",ROUND(L439*M439/2,2),0)</f>
        <v>0</v>
      </c>
      <c r="R439" s="35" t="n">
        <f aca="false">Q439</f>
        <v>0</v>
      </c>
      <c r="S439" s="35" t="n">
        <f aca="false">L439+P439+Q439+R439</f>
        <v>0</v>
      </c>
      <c r="T439" s="34" t="str">
        <f aca="false">IF(A439="","",IFERROR(INDEX(Customers!$B$5:$B$204,MATCH(C439,Customers!$A$5:$A$204,0))&amp;"",""))</f>
        <v/>
      </c>
      <c r="U439" s="38" t="str">
        <f aca="false">IF(A439="","",IF(T439&lt;&gt;"","B2B",IF(AND(O439="Yes",SUMIF($A$5:$A$1004,A439,$L$5:$L$1004)+SUMIF($A$5:$A$1004,A439,$P$5:$P$1004)&gt;100000),"B2CL","B2CS")))</f>
        <v/>
      </c>
      <c r="V439" s="17" t="str">
        <f aca="false">IF(A439="","",TEXT(B439,"mmm-yyyy"))</f>
        <v/>
      </c>
    </row>
    <row r="440" customFormat="false" ht="15" hidden="false" customHeight="true" outlineLevel="0" collapsed="false">
      <c r="A440" s="24"/>
      <c r="B440" s="39"/>
      <c r="C440" s="24"/>
      <c r="D440" s="24"/>
      <c r="E440" s="40"/>
      <c r="F440" s="29"/>
      <c r="G440" s="30"/>
      <c r="H440" s="17" t="str">
        <f aca="false">IF(A440="","",A440&amp;"|"&amp;COUNTIF(A$5:A440,A440))</f>
        <v/>
      </c>
      <c r="I440" s="33" t="str">
        <f aca="false">IF(A440="","",IFERROR(INDEX(Items!$B$5:$B$304,MATCH(D440,Items!$A$5:$A$304,0))&amp;"",""))</f>
        <v/>
      </c>
      <c r="J440" s="34" t="str">
        <f aca="false">IF(A440="","",IFERROR(INDEX(Items!$C$5:$C$304,MATCH(D440,Items!$A$5:$A$304,0))&amp;"",""))</f>
        <v/>
      </c>
      <c r="K440" s="35" t="n">
        <f aca="false">IF(A440="",0,IF(ISNUMBER(F440),F440,IFERROR(INDEX(Items!$D$5:$D$304,MATCH(D440,Items!$A$5:$A$304,0)),0)))</f>
        <v>0</v>
      </c>
      <c r="L440" s="35" t="n">
        <f aca="false">ROUND(N(E440)*K440*(1-N(G440)),2)</f>
        <v>0</v>
      </c>
      <c r="M440" s="36" t="n">
        <f aca="false">IF(A440="",0,IFERROR(INDEX(Items!$E$5:$E$304,MATCH(D440,Items!$A$5:$A$304,0)),0))</f>
        <v>0</v>
      </c>
      <c r="N440" s="37" t="str">
        <f aca="false">IF(A440="","",IFERROR(INDEX(Customers!$E$5:$E$204,MATCH(C440,Customers!$A$5:$A$204,0)),"?"))</f>
        <v/>
      </c>
      <c r="O440" s="38" t="str">
        <f aca="false">IF(A440="","",IF(N440=Settings!$B$17,"No","Yes"))</f>
        <v/>
      </c>
      <c r="P440" s="35" t="n">
        <f aca="false">IF(O440="Yes",ROUND(L440*M440,2),0)</f>
        <v>0</v>
      </c>
      <c r="Q440" s="35" t="n">
        <f aca="false">IF(O440="No",ROUND(L440*M440/2,2),0)</f>
        <v>0</v>
      </c>
      <c r="R440" s="35" t="n">
        <f aca="false">Q440</f>
        <v>0</v>
      </c>
      <c r="S440" s="35" t="n">
        <f aca="false">L440+P440+Q440+R440</f>
        <v>0</v>
      </c>
      <c r="T440" s="34" t="str">
        <f aca="false">IF(A440="","",IFERROR(INDEX(Customers!$B$5:$B$204,MATCH(C440,Customers!$A$5:$A$204,0))&amp;"",""))</f>
        <v/>
      </c>
      <c r="U440" s="38" t="str">
        <f aca="false">IF(A440="","",IF(T440&lt;&gt;"","B2B",IF(AND(O440="Yes",SUMIF($A$5:$A$1004,A440,$L$5:$L$1004)+SUMIF($A$5:$A$1004,A440,$P$5:$P$1004)&gt;100000),"B2CL","B2CS")))</f>
        <v/>
      </c>
      <c r="V440" s="17" t="str">
        <f aca="false">IF(A440="","",TEXT(B440,"mmm-yyyy"))</f>
        <v/>
      </c>
    </row>
    <row r="441" customFormat="false" ht="15" hidden="false" customHeight="true" outlineLevel="0" collapsed="false">
      <c r="A441" s="24"/>
      <c r="B441" s="39"/>
      <c r="C441" s="24"/>
      <c r="D441" s="24"/>
      <c r="E441" s="40"/>
      <c r="F441" s="29"/>
      <c r="G441" s="30"/>
      <c r="H441" s="17" t="str">
        <f aca="false">IF(A441="","",A441&amp;"|"&amp;COUNTIF(A$5:A441,A441))</f>
        <v/>
      </c>
      <c r="I441" s="33" t="str">
        <f aca="false">IF(A441="","",IFERROR(INDEX(Items!$B$5:$B$304,MATCH(D441,Items!$A$5:$A$304,0))&amp;"",""))</f>
        <v/>
      </c>
      <c r="J441" s="34" t="str">
        <f aca="false">IF(A441="","",IFERROR(INDEX(Items!$C$5:$C$304,MATCH(D441,Items!$A$5:$A$304,0))&amp;"",""))</f>
        <v/>
      </c>
      <c r="K441" s="35" t="n">
        <f aca="false">IF(A441="",0,IF(ISNUMBER(F441),F441,IFERROR(INDEX(Items!$D$5:$D$304,MATCH(D441,Items!$A$5:$A$304,0)),0)))</f>
        <v>0</v>
      </c>
      <c r="L441" s="35" t="n">
        <f aca="false">ROUND(N(E441)*K441*(1-N(G441)),2)</f>
        <v>0</v>
      </c>
      <c r="M441" s="36" t="n">
        <f aca="false">IF(A441="",0,IFERROR(INDEX(Items!$E$5:$E$304,MATCH(D441,Items!$A$5:$A$304,0)),0))</f>
        <v>0</v>
      </c>
      <c r="N441" s="37" t="str">
        <f aca="false">IF(A441="","",IFERROR(INDEX(Customers!$E$5:$E$204,MATCH(C441,Customers!$A$5:$A$204,0)),"?"))</f>
        <v/>
      </c>
      <c r="O441" s="38" t="str">
        <f aca="false">IF(A441="","",IF(N441=Settings!$B$17,"No","Yes"))</f>
        <v/>
      </c>
      <c r="P441" s="35" t="n">
        <f aca="false">IF(O441="Yes",ROUND(L441*M441,2),0)</f>
        <v>0</v>
      </c>
      <c r="Q441" s="35" t="n">
        <f aca="false">IF(O441="No",ROUND(L441*M441/2,2),0)</f>
        <v>0</v>
      </c>
      <c r="R441" s="35" t="n">
        <f aca="false">Q441</f>
        <v>0</v>
      </c>
      <c r="S441" s="35" t="n">
        <f aca="false">L441+P441+Q441+R441</f>
        <v>0</v>
      </c>
      <c r="T441" s="34" t="str">
        <f aca="false">IF(A441="","",IFERROR(INDEX(Customers!$B$5:$B$204,MATCH(C441,Customers!$A$5:$A$204,0))&amp;"",""))</f>
        <v/>
      </c>
      <c r="U441" s="38" t="str">
        <f aca="false">IF(A441="","",IF(T441&lt;&gt;"","B2B",IF(AND(O441="Yes",SUMIF($A$5:$A$1004,A441,$L$5:$L$1004)+SUMIF($A$5:$A$1004,A441,$P$5:$P$1004)&gt;100000),"B2CL","B2CS")))</f>
        <v/>
      </c>
      <c r="V441" s="17" t="str">
        <f aca="false">IF(A441="","",TEXT(B441,"mmm-yyyy"))</f>
        <v/>
      </c>
    </row>
    <row r="442" customFormat="false" ht="15" hidden="false" customHeight="true" outlineLevel="0" collapsed="false">
      <c r="A442" s="24"/>
      <c r="B442" s="39"/>
      <c r="C442" s="24"/>
      <c r="D442" s="24"/>
      <c r="E442" s="40"/>
      <c r="F442" s="29"/>
      <c r="G442" s="30"/>
      <c r="H442" s="17" t="str">
        <f aca="false">IF(A442="","",A442&amp;"|"&amp;COUNTIF(A$5:A442,A442))</f>
        <v/>
      </c>
      <c r="I442" s="33" t="str">
        <f aca="false">IF(A442="","",IFERROR(INDEX(Items!$B$5:$B$304,MATCH(D442,Items!$A$5:$A$304,0))&amp;"",""))</f>
        <v/>
      </c>
      <c r="J442" s="34" t="str">
        <f aca="false">IF(A442="","",IFERROR(INDEX(Items!$C$5:$C$304,MATCH(D442,Items!$A$5:$A$304,0))&amp;"",""))</f>
        <v/>
      </c>
      <c r="K442" s="35" t="n">
        <f aca="false">IF(A442="",0,IF(ISNUMBER(F442),F442,IFERROR(INDEX(Items!$D$5:$D$304,MATCH(D442,Items!$A$5:$A$304,0)),0)))</f>
        <v>0</v>
      </c>
      <c r="L442" s="35" t="n">
        <f aca="false">ROUND(N(E442)*K442*(1-N(G442)),2)</f>
        <v>0</v>
      </c>
      <c r="M442" s="36" t="n">
        <f aca="false">IF(A442="",0,IFERROR(INDEX(Items!$E$5:$E$304,MATCH(D442,Items!$A$5:$A$304,0)),0))</f>
        <v>0</v>
      </c>
      <c r="N442" s="37" t="str">
        <f aca="false">IF(A442="","",IFERROR(INDEX(Customers!$E$5:$E$204,MATCH(C442,Customers!$A$5:$A$204,0)),"?"))</f>
        <v/>
      </c>
      <c r="O442" s="38" t="str">
        <f aca="false">IF(A442="","",IF(N442=Settings!$B$17,"No","Yes"))</f>
        <v/>
      </c>
      <c r="P442" s="35" t="n">
        <f aca="false">IF(O442="Yes",ROUND(L442*M442,2),0)</f>
        <v>0</v>
      </c>
      <c r="Q442" s="35" t="n">
        <f aca="false">IF(O442="No",ROUND(L442*M442/2,2),0)</f>
        <v>0</v>
      </c>
      <c r="R442" s="35" t="n">
        <f aca="false">Q442</f>
        <v>0</v>
      </c>
      <c r="S442" s="35" t="n">
        <f aca="false">L442+P442+Q442+R442</f>
        <v>0</v>
      </c>
      <c r="T442" s="34" t="str">
        <f aca="false">IF(A442="","",IFERROR(INDEX(Customers!$B$5:$B$204,MATCH(C442,Customers!$A$5:$A$204,0))&amp;"",""))</f>
        <v/>
      </c>
      <c r="U442" s="38" t="str">
        <f aca="false">IF(A442="","",IF(T442&lt;&gt;"","B2B",IF(AND(O442="Yes",SUMIF($A$5:$A$1004,A442,$L$5:$L$1004)+SUMIF($A$5:$A$1004,A442,$P$5:$P$1004)&gt;100000),"B2CL","B2CS")))</f>
        <v/>
      </c>
      <c r="V442" s="17" t="str">
        <f aca="false">IF(A442="","",TEXT(B442,"mmm-yyyy"))</f>
        <v/>
      </c>
    </row>
    <row r="443" customFormat="false" ht="15" hidden="false" customHeight="true" outlineLevel="0" collapsed="false">
      <c r="A443" s="24"/>
      <c r="B443" s="39"/>
      <c r="C443" s="24"/>
      <c r="D443" s="24"/>
      <c r="E443" s="40"/>
      <c r="F443" s="29"/>
      <c r="G443" s="30"/>
      <c r="H443" s="17" t="str">
        <f aca="false">IF(A443="","",A443&amp;"|"&amp;COUNTIF(A$5:A443,A443))</f>
        <v/>
      </c>
      <c r="I443" s="33" t="str">
        <f aca="false">IF(A443="","",IFERROR(INDEX(Items!$B$5:$B$304,MATCH(D443,Items!$A$5:$A$304,0))&amp;"",""))</f>
        <v/>
      </c>
      <c r="J443" s="34" t="str">
        <f aca="false">IF(A443="","",IFERROR(INDEX(Items!$C$5:$C$304,MATCH(D443,Items!$A$5:$A$304,0))&amp;"",""))</f>
        <v/>
      </c>
      <c r="K443" s="35" t="n">
        <f aca="false">IF(A443="",0,IF(ISNUMBER(F443),F443,IFERROR(INDEX(Items!$D$5:$D$304,MATCH(D443,Items!$A$5:$A$304,0)),0)))</f>
        <v>0</v>
      </c>
      <c r="L443" s="35" t="n">
        <f aca="false">ROUND(N(E443)*K443*(1-N(G443)),2)</f>
        <v>0</v>
      </c>
      <c r="M443" s="36" t="n">
        <f aca="false">IF(A443="",0,IFERROR(INDEX(Items!$E$5:$E$304,MATCH(D443,Items!$A$5:$A$304,0)),0))</f>
        <v>0</v>
      </c>
      <c r="N443" s="37" t="str">
        <f aca="false">IF(A443="","",IFERROR(INDEX(Customers!$E$5:$E$204,MATCH(C443,Customers!$A$5:$A$204,0)),"?"))</f>
        <v/>
      </c>
      <c r="O443" s="38" t="str">
        <f aca="false">IF(A443="","",IF(N443=Settings!$B$17,"No","Yes"))</f>
        <v/>
      </c>
      <c r="P443" s="35" t="n">
        <f aca="false">IF(O443="Yes",ROUND(L443*M443,2),0)</f>
        <v>0</v>
      </c>
      <c r="Q443" s="35" t="n">
        <f aca="false">IF(O443="No",ROUND(L443*M443/2,2),0)</f>
        <v>0</v>
      </c>
      <c r="R443" s="35" t="n">
        <f aca="false">Q443</f>
        <v>0</v>
      </c>
      <c r="S443" s="35" t="n">
        <f aca="false">L443+P443+Q443+R443</f>
        <v>0</v>
      </c>
      <c r="T443" s="34" t="str">
        <f aca="false">IF(A443="","",IFERROR(INDEX(Customers!$B$5:$B$204,MATCH(C443,Customers!$A$5:$A$204,0))&amp;"",""))</f>
        <v/>
      </c>
      <c r="U443" s="38" t="str">
        <f aca="false">IF(A443="","",IF(T443&lt;&gt;"","B2B",IF(AND(O443="Yes",SUMIF($A$5:$A$1004,A443,$L$5:$L$1004)+SUMIF($A$5:$A$1004,A443,$P$5:$P$1004)&gt;100000),"B2CL","B2CS")))</f>
        <v/>
      </c>
      <c r="V443" s="17" t="str">
        <f aca="false">IF(A443="","",TEXT(B443,"mmm-yyyy"))</f>
        <v/>
      </c>
    </row>
    <row r="444" customFormat="false" ht="15" hidden="false" customHeight="true" outlineLevel="0" collapsed="false">
      <c r="A444" s="24"/>
      <c r="B444" s="39"/>
      <c r="C444" s="24"/>
      <c r="D444" s="24"/>
      <c r="E444" s="40"/>
      <c r="F444" s="29"/>
      <c r="G444" s="30"/>
      <c r="H444" s="17" t="str">
        <f aca="false">IF(A444="","",A444&amp;"|"&amp;COUNTIF(A$5:A444,A444))</f>
        <v/>
      </c>
      <c r="I444" s="33" t="str">
        <f aca="false">IF(A444="","",IFERROR(INDEX(Items!$B$5:$B$304,MATCH(D444,Items!$A$5:$A$304,0))&amp;"",""))</f>
        <v/>
      </c>
      <c r="J444" s="34" t="str">
        <f aca="false">IF(A444="","",IFERROR(INDEX(Items!$C$5:$C$304,MATCH(D444,Items!$A$5:$A$304,0))&amp;"",""))</f>
        <v/>
      </c>
      <c r="K444" s="35" t="n">
        <f aca="false">IF(A444="",0,IF(ISNUMBER(F444),F444,IFERROR(INDEX(Items!$D$5:$D$304,MATCH(D444,Items!$A$5:$A$304,0)),0)))</f>
        <v>0</v>
      </c>
      <c r="L444" s="35" t="n">
        <f aca="false">ROUND(N(E444)*K444*(1-N(G444)),2)</f>
        <v>0</v>
      </c>
      <c r="M444" s="36" t="n">
        <f aca="false">IF(A444="",0,IFERROR(INDEX(Items!$E$5:$E$304,MATCH(D444,Items!$A$5:$A$304,0)),0))</f>
        <v>0</v>
      </c>
      <c r="N444" s="37" t="str">
        <f aca="false">IF(A444="","",IFERROR(INDEX(Customers!$E$5:$E$204,MATCH(C444,Customers!$A$5:$A$204,0)),"?"))</f>
        <v/>
      </c>
      <c r="O444" s="38" t="str">
        <f aca="false">IF(A444="","",IF(N444=Settings!$B$17,"No","Yes"))</f>
        <v/>
      </c>
      <c r="P444" s="35" t="n">
        <f aca="false">IF(O444="Yes",ROUND(L444*M444,2),0)</f>
        <v>0</v>
      </c>
      <c r="Q444" s="35" t="n">
        <f aca="false">IF(O444="No",ROUND(L444*M444/2,2),0)</f>
        <v>0</v>
      </c>
      <c r="R444" s="35" t="n">
        <f aca="false">Q444</f>
        <v>0</v>
      </c>
      <c r="S444" s="35" t="n">
        <f aca="false">L444+P444+Q444+R444</f>
        <v>0</v>
      </c>
      <c r="T444" s="34" t="str">
        <f aca="false">IF(A444="","",IFERROR(INDEX(Customers!$B$5:$B$204,MATCH(C444,Customers!$A$5:$A$204,0))&amp;"",""))</f>
        <v/>
      </c>
      <c r="U444" s="38" t="str">
        <f aca="false">IF(A444="","",IF(T444&lt;&gt;"","B2B",IF(AND(O444="Yes",SUMIF($A$5:$A$1004,A444,$L$5:$L$1004)+SUMIF($A$5:$A$1004,A444,$P$5:$P$1004)&gt;100000),"B2CL","B2CS")))</f>
        <v/>
      </c>
      <c r="V444" s="17" t="str">
        <f aca="false">IF(A444="","",TEXT(B444,"mmm-yyyy"))</f>
        <v/>
      </c>
    </row>
    <row r="445" customFormat="false" ht="15" hidden="false" customHeight="true" outlineLevel="0" collapsed="false">
      <c r="A445" s="24"/>
      <c r="B445" s="39"/>
      <c r="C445" s="24"/>
      <c r="D445" s="24"/>
      <c r="E445" s="40"/>
      <c r="F445" s="29"/>
      <c r="G445" s="30"/>
      <c r="H445" s="17" t="str">
        <f aca="false">IF(A445="","",A445&amp;"|"&amp;COUNTIF(A$5:A445,A445))</f>
        <v/>
      </c>
      <c r="I445" s="33" t="str">
        <f aca="false">IF(A445="","",IFERROR(INDEX(Items!$B$5:$B$304,MATCH(D445,Items!$A$5:$A$304,0))&amp;"",""))</f>
        <v/>
      </c>
      <c r="J445" s="34" t="str">
        <f aca="false">IF(A445="","",IFERROR(INDEX(Items!$C$5:$C$304,MATCH(D445,Items!$A$5:$A$304,0))&amp;"",""))</f>
        <v/>
      </c>
      <c r="K445" s="35" t="n">
        <f aca="false">IF(A445="",0,IF(ISNUMBER(F445),F445,IFERROR(INDEX(Items!$D$5:$D$304,MATCH(D445,Items!$A$5:$A$304,0)),0)))</f>
        <v>0</v>
      </c>
      <c r="L445" s="35" t="n">
        <f aca="false">ROUND(N(E445)*K445*(1-N(G445)),2)</f>
        <v>0</v>
      </c>
      <c r="M445" s="36" t="n">
        <f aca="false">IF(A445="",0,IFERROR(INDEX(Items!$E$5:$E$304,MATCH(D445,Items!$A$5:$A$304,0)),0))</f>
        <v>0</v>
      </c>
      <c r="N445" s="37" t="str">
        <f aca="false">IF(A445="","",IFERROR(INDEX(Customers!$E$5:$E$204,MATCH(C445,Customers!$A$5:$A$204,0)),"?"))</f>
        <v/>
      </c>
      <c r="O445" s="38" t="str">
        <f aca="false">IF(A445="","",IF(N445=Settings!$B$17,"No","Yes"))</f>
        <v/>
      </c>
      <c r="P445" s="35" t="n">
        <f aca="false">IF(O445="Yes",ROUND(L445*M445,2),0)</f>
        <v>0</v>
      </c>
      <c r="Q445" s="35" t="n">
        <f aca="false">IF(O445="No",ROUND(L445*M445/2,2),0)</f>
        <v>0</v>
      </c>
      <c r="R445" s="35" t="n">
        <f aca="false">Q445</f>
        <v>0</v>
      </c>
      <c r="S445" s="35" t="n">
        <f aca="false">L445+P445+Q445+R445</f>
        <v>0</v>
      </c>
      <c r="T445" s="34" t="str">
        <f aca="false">IF(A445="","",IFERROR(INDEX(Customers!$B$5:$B$204,MATCH(C445,Customers!$A$5:$A$204,0))&amp;"",""))</f>
        <v/>
      </c>
      <c r="U445" s="38" t="str">
        <f aca="false">IF(A445="","",IF(T445&lt;&gt;"","B2B",IF(AND(O445="Yes",SUMIF($A$5:$A$1004,A445,$L$5:$L$1004)+SUMIF($A$5:$A$1004,A445,$P$5:$P$1004)&gt;100000),"B2CL","B2CS")))</f>
        <v/>
      </c>
      <c r="V445" s="17" t="str">
        <f aca="false">IF(A445="","",TEXT(B445,"mmm-yyyy"))</f>
        <v/>
      </c>
    </row>
    <row r="446" customFormat="false" ht="15" hidden="false" customHeight="true" outlineLevel="0" collapsed="false">
      <c r="A446" s="24"/>
      <c r="B446" s="39"/>
      <c r="C446" s="24"/>
      <c r="D446" s="24"/>
      <c r="E446" s="40"/>
      <c r="F446" s="29"/>
      <c r="G446" s="30"/>
      <c r="H446" s="17" t="str">
        <f aca="false">IF(A446="","",A446&amp;"|"&amp;COUNTIF(A$5:A446,A446))</f>
        <v/>
      </c>
      <c r="I446" s="33" t="str">
        <f aca="false">IF(A446="","",IFERROR(INDEX(Items!$B$5:$B$304,MATCH(D446,Items!$A$5:$A$304,0))&amp;"",""))</f>
        <v/>
      </c>
      <c r="J446" s="34" t="str">
        <f aca="false">IF(A446="","",IFERROR(INDEX(Items!$C$5:$C$304,MATCH(D446,Items!$A$5:$A$304,0))&amp;"",""))</f>
        <v/>
      </c>
      <c r="K446" s="35" t="n">
        <f aca="false">IF(A446="",0,IF(ISNUMBER(F446),F446,IFERROR(INDEX(Items!$D$5:$D$304,MATCH(D446,Items!$A$5:$A$304,0)),0)))</f>
        <v>0</v>
      </c>
      <c r="L446" s="35" t="n">
        <f aca="false">ROUND(N(E446)*K446*(1-N(G446)),2)</f>
        <v>0</v>
      </c>
      <c r="M446" s="36" t="n">
        <f aca="false">IF(A446="",0,IFERROR(INDEX(Items!$E$5:$E$304,MATCH(D446,Items!$A$5:$A$304,0)),0))</f>
        <v>0</v>
      </c>
      <c r="N446" s="37" t="str">
        <f aca="false">IF(A446="","",IFERROR(INDEX(Customers!$E$5:$E$204,MATCH(C446,Customers!$A$5:$A$204,0)),"?"))</f>
        <v/>
      </c>
      <c r="O446" s="38" t="str">
        <f aca="false">IF(A446="","",IF(N446=Settings!$B$17,"No","Yes"))</f>
        <v/>
      </c>
      <c r="P446" s="35" t="n">
        <f aca="false">IF(O446="Yes",ROUND(L446*M446,2),0)</f>
        <v>0</v>
      </c>
      <c r="Q446" s="35" t="n">
        <f aca="false">IF(O446="No",ROUND(L446*M446/2,2),0)</f>
        <v>0</v>
      </c>
      <c r="R446" s="35" t="n">
        <f aca="false">Q446</f>
        <v>0</v>
      </c>
      <c r="S446" s="35" t="n">
        <f aca="false">L446+P446+Q446+R446</f>
        <v>0</v>
      </c>
      <c r="T446" s="34" t="str">
        <f aca="false">IF(A446="","",IFERROR(INDEX(Customers!$B$5:$B$204,MATCH(C446,Customers!$A$5:$A$204,0))&amp;"",""))</f>
        <v/>
      </c>
      <c r="U446" s="38" t="str">
        <f aca="false">IF(A446="","",IF(T446&lt;&gt;"","B2B",IF(AND(O446="Yes",SUMIF($A$5:$A$1004,A446,$L$5:$L$1004)+SUMIF($A$5:$A$1004,A446,$P$5:$P$1004)&gt;100000),"B2CL","B2CS")))</f>
        <v/>
      </c>
      <c r="V446" s="17" t="str">
        <f aca="false">IF(A446="","",TEXT(B446,"mmm-yyyy"))</f>
        <v/>
      </c>
    </row>
    <row r="447" customFormat="false" ht="15" hidden="false" customHeight="true" outlineLevel="0" collapsed="false">
      <c r="A447" s="24"/>
      <c r="B447" s="39"/>
      <c r="C447" s="24"/>
      <c r="D447" s="24"/>
      <c r="E447" s="40"/>
      <c r="F447" s="29"/>
      <c r="G447" s="30"/>
      <c r="H447" s="17" t="str">
        <f aca="false">IF(A447="","",A447&amp;"|"&amp;COUNTIF(A$5:A447,A447))</f>
        <v/>
      </c>
      <c r="I447" s="33" t="str">
        <f aca="false">IF(A447="","",IFERROR(INDEX(Items!$B$5:$B$304,MATCH(D447,Items!$A$5:$A$304,0))&amp;"",""))</f>
        <v/>
      </c>
      <c r="J447" s="34" t="str">
        <f aca="false">IF(A447="","",IFERROR(INDEX(Items!$C$5:$C$304,MATCH(D447,Items!$A$5:$A$304,0))&amp;"",""))</f>
        <v/>
      </c>
      <c r="K447" s="35" t="n">
        <f aca="false">IF(A447="",0,IF(ISNUMBER(F447),F447,IFERROR(INDEX(Items!$D$5:$D$304,MATCH(D447,Items!$A$5:$A$304,0)),0)))</f>
        <v>0</v>
      </c>
      <c r="L447" s="35" t="n">
        <f aca="false">ROUND(N(E447)*K447*(1-N(G447)),2)</f>
        <v>0</v>
      </c>
      <c r="M447" s="36" t="n">
        <f aca="false">IF(A447="",0,IFERROR(INDEX(Items!$E$5:$E$304,MATCH(D447,Items!$A$5:$A$304,0)),0))</f>
        <v>0</v>
      </c>
      <c r="N447" s="37" t="str">
        <f aca="false">IF(A447="","",IFERROR(INDEX(Customers!$E$5:$E$204,MATCH(C447,Customers!$A$5:$A$204,0)),"?"))</f>
        <v/>
      </c>
      <c r="O447" s="38" t="str">
        <f aca="false">IF(A447="","",IF(N447=Settings!$B$17,"No","Yes"))</f>
        <v/>
      </c>
      <c r="P447" s="35" t="n">
        <f aca="false">IF(O447="Yes",ROUND(L447*M447,2),0)</f>
        <v>0</v>
      </c>
      <c r="Q447" s="35" t="n">
        <f aca="false">IF(O447="No",ROUND(L447*M447/2,2),0)</f>
        <v>0</v>
      </c>
      <c r="R447" s="35" t="n">
        <f aca="false">Q447</f>
        <v>0</v>
      </c>
      <c r="S447" s="35" t="n">
        <f aca="false">L447+P447+Q447+R447</f>
        <v>0</v>
      </c>
      <c r="T447" s="34" t="str">
        <f aca="false">IF(A447="","",IFERROR(INDEX(Customers!$B$5:$B$204,MATCH(C447,Customers!$A$5:$A$204,0))&amp;"",""))</f>
        <v/>
      </c>
      <c r="U447" s="38" t="str">
        <f aca="false">IF(A447="","",IF(T447&lt;&gt;"","B2B",IF(AND(O447="Yes",SUMIF($A$5:$A$1004,A447,$L$5:$L$1004)+SUMIF($A$5:$A$1004,A447,$P$5:$P$1004)&gt;100000),"B2CL","B2CS")))</f>
        <v/>
      </c>
      <c r="V447" s="17" t="str">
        <f aca="false">IF(A447="","",TEXT(B447,"mmm-yyyy"))</f>
        <v/>
      </c>
    </row>
    <row r="448" customFormat="false" ht="15" hidden="false" customHeight="true" outlineLevel="0" collapsed="false">
      <c r="A448" s="24"/>
      <c r="B448" s="39"/>
      <c r="C448" s="24"/>
      <c r="D448" s="24"/>
      <c r="E448" s="40"/>
      <c r="F448" s="29"/>
      <c r="G448" s="30"/>
      <c r="H448" s="17" t="str">
        <f aca="false">IF(A448="","",A448&amp;"|"&amp;COUNTIF(A$5:A448,A448))</f>
        <v/>
      </c>
      <c r="I448" s="33" t="str">
        <f aca="false">IF(A448="","",IFERROR(INDEX(Items!$B$5:$B$304,MATCH(D448,Items!$A$5:$A$304,0))&amp;"",""))</f>
        <v/>
      </c>
      <c r="J448" s="34" t="str">
        <f aca="false">IF(A448="","",IFERROR(INDEX(Items!$C$5:$C$304,MATCH(D448,Items!$A$5:$A$304,0))&amp;"",""))</f>
        <v/>
      </c>
      <c r="K448" s="35" t="n">
        <f aca="false">IF(A448="",0,IF(ISNUMBER(F448),F448,IFERROR(INDEX(Items!$D$5:$D$304,MATCH(D448,Items!$A$5:$A$304,0)),0)))</f>
        <v>0</v>
      </c>
      <c r="L448" s="35" t="n">
        <f aca="false">ROUND(N(E448)*K448*(1-N(G448)),2)</f>
        <v>0</v>
      </c>
      <c r="M448" s="36" t="n">
        <f aca="false">IF(A448="",0,IFERROR(INDEX(Items!$E$5:$E$304,MATCH(D448,Items!$A$5:$A$304,0)),0))</f>
        <v>0</v>
      </c>
      <c r="N448" s="37" t="str">
        <f aca="false">IF(A448="","",IFERROR(INDEX(Customers!$E$5:$E$204,MATCH(C448,Customers!$A$5:$A$204,0)),"?"))</f>
        <v/>
      </c>
      <c r="O448" s="38" t="str">
        <f aca="false">IF(A448="","",IF(N448=Settings!$B$17,"No","Yes"))</f>
        <v/>
      </c>
      <c r="P448" s="35" t="n">
        <f aca="false">IF(O448="Yes",ROUND(L448*M448,2),0)</f>
        <v>0</v>
      </c>
      <c r="Q448" s="35" t="n">
        <f aca="false">IF(O448="No",ROUND(L448*M448/2,2),0)</f>
        <v>0</v>
      </c>
      <c r="R448" s="35" t="n">
        <f aca="false">Q448</f>
        <v>0</v>
      </c>
      <c r="S448" s="35" t="n">
        <f aca="false">L448+P448+Q448+R448</f>
        <v>0</v>
      </c>
      <c r="T448" s="34" t="str">
        <f aca="false">IF(A448="","",IFERROR(INDEX(Customers!$B$5:$B$204,MATCH(C448,Customers!$A$5:$A$204,0))&amp;"",""))</f>
        <v/>
      </c>
      <c r="U448" s="38" t="str">
        <f aca="false">IF(A448="","",IF(T448&lt;&gt;"","B2B",IF(AND(O448="Yes",SUMIF($A$5:$A$1004,A448,$L$5:$L$1004)+SUMIF($A$5:$A$1004,A448,$P$5:$P$1004)&gt;100000),"B2CL","B2CS")))</f>
        <v/>
      </c>
      <c r="V448" s="17" t="str">
        <f aca="false">IF(A448="","",TEXT(B448,"mmm-yyyy"))</f>
        <v/>
      </c>
    </row>
    <row r="449" customFormat="false" ht="15" hidden="false" customHeight="true" outlineLevel="0" collapsed="false">
      <c r="A449" s="24"/>
      <c r="B449" s="39"/>
      <c r="C449" s="24"/>
      <c r="D449" s="24"/>
      <c r="E449" s="40"/>
      <c r="F449" s="29"/>
      <c r="G449" s="30"/>
      <c r="H449" s="17" t="str">
        <f aca="false">IF(A449="","",A449&amp;"|"&amp;COUNTIF(A$5:A449,A449))</f>
        <v/>
      </c>
      <c r="I449" s="33" t="str">
        <f aca="false">IF(A449="","",IFERROR(INDEX(Items!$B$5:$B$304,MATCH(D449,Items!$A$5:$A$304,0))&amp;"",""))</f>
        <v/>
      </c>
      <c r="J449" s="34" t="str">
        <f aca="false">IF(A449="","",IFERROR(INDEX(Items!$C$5:$C$304,MATCH(D449,Items!$A$5:$A$304,0))&amp;"",""))</f>
        <v/>
      </c>
      <c r="K449" s="35" t="n">
        <f aca="false">IF(A449="",0,IF(ISNUMBER(F449),F449,IFERROR(INDEX(Items!$D$5:$D$304,MATCH(D449,Items!$A$5:$A$304,0)),0)))</f>
        <v>0</v>
      </c>
      <c r="L449" s="35" t="n">
        <f aca="false">ROUND(N(E449)*K449*(1-N(G449)),2)</f>
        <v>0</v>
      </c>
      <c r="M449" s="36" t="n">
        <f aca="false">IF(A449="",0,IFERROR(INDEX(Items!$E$5:$E$304,MATCH(D449,Items!$A$5:$A$304,0)),0))</f>
        <v>0</v>
      </c>
      <c r="N449" s="37" t="str">
        <f aca="false">IF(A449="","",IFERROR(INDEX(Customers!$E$5:$E$204,MATCH(C449,Customers!$A$5:$A$204,0)),"?"))</f>
        <v/>
      </c>
      <c r="O449" s="38" t="str">
        <f aca="false">IF(A449="","",IF(N449=Settings!$B$17,"No","Yes"))</f>
        <v/>
      </c>
      <c r="P449" s="35" t="n">
        <f aca="false">IF(O449="Yes",ROUND(L449*M449,2),0)</f>
        <v>0</v>
      </c>
      <c r="Q449" s="35" t="n">
        <f aca="false">IF(O449="No",ROUND(L449*M449/2,2),0)</f>
        <v>0</v>
      </c>
      <c r="R449" s="35" t="n">
        <f aca="false">Q449</f>
        <v>0</v>
      </c>
      <c r="S449" s="35" t="n">
        <f aca="false">L449+P449+Q449+R449</f>
        <v>0</v>
      </c>
      <c r="T449" s="34" t="str">
        <f aca="false">IF(A449="","",IFERROR(INDEX(Customers!$B$5:$B$204,MATCH(C449,Customers!$A$5:$A$204,0))&amp;"",""))</f>
        <v/>
      </c>
      <c r="U449" s="38" t="str">
        <f aca="false">IF(A449="","",IF(T449&lt;&gt;"","B2B",IF(AND(O449="Yes",SUMIF($A$5:$A$1004,A449,$L$5:$L$1004)+SUMIF($A$5:$A$1004,A449,$P$5:$P$1004)&gt;100000),"B2CL","B2CS")))</f>
        <v/>
      </c>
      <c r="V449" s="17" t="str">
        <f aca="false">IF(A449="","",TEXT(B449,"mmm-yyyy"))</f>
        <v/>
      </c>
    </row>
    <row r="450" customFormat="false" ht="15" hidden="false" customHeight="true" outlineLevel="0" collapsed="false">
      <c r="A450" s="24"/>
      <c r="B450" s="39"/>
      <c r="C450" s="24"/>
      <c r="D450" s="24"/>
      <c r="E450" s="40"/>
      <c r="F450" s="29"/>
      <c r="G450" s="30"/>
      <c r="H450" s="17" t="str">
        <f aca="false">IF(A450="","",A450&amp;"|"&amp;COUNTIF(A$5:A450,A450))</f>
        <v/>
      </c>
      <c r="I450" s="33" t="str">
        <f aca="false">IF(A450="","",IFERROR(INDEX(Items!$B$5:$B$304,MATCH(D450,Items!$A$5:$A$304,0))&amp;"",""))</f>
        <v/>
      </c>
      <c r="J450" s="34" t="str">
        <f aca="false">IF(A450="","",IFERROR(INDEX(Items!$C$5:$C$304,MATCH(D450,Items!$A$5:$A$304,0))&amp;"",""))</f>
        <v/>
      </c>
      <c r="K450" s="35" t="n">
        <f aca="false">IF(A450="",0,IF(ISNUMBER(F450),F450,IFERROR(INDEX(Items!$D$5:$D$304,MATCH(D450,Items!$A$5:$A$304,0)),0)))</f>
        <v>0</v>
      </c>
      <c r="L450" s="35" t="n">
        <f aca="false">ROUND(N(E450)*K450*(1-N(G450)),2)</f>
        <v>0</v>
      </c>
      <c r="M450" s="36" t="n">
        <f aca="false">IF(A450="",0,IFERROR(INDEX(Items!$E$5:$E$304,MATCH(D450,Items!$A$5:$A$304,0)),0))</f>
        <v>0</v>
      </c>
      <c r="N450" s="37" t="str">
        <f aca="false">IF(A450="","",IFERROR(INDEX(Customers!$E$5:$E$204,MATCH(C450,Customers!$A$5:$A$204,0)),"?"))</f>
        <v/>
      </c>
      <c r="O450" s="38" t="str">
        <f aca="false">IF(A450="","",IF(N450=Settings!$B$17,"No","Yes"))</f>
        <v/>
      </c>
      <c r="P450" s="35" t="n">
        <f aca="false">IF(O450="Yes",ROUND(L450*M450,2),0)</f>
        <v>0</v>
      </c>
      <c r="Q450" s="35" t="n">
        <f aca="false">IF(O450="No",ROUND(L450*M450/2,2),0)</f>
        <v>0</v>
      </c>
      <c r="R450" s="35" t="n">
        <f aca="false">Q450</f>
        <v>0</v>
      </c>
      <c r="S450" s="35" t="n">
        <f aca="false">L450+P450+Q450+R450</f>
        <v>0</v>
      </c>
      <c r="T450" s="34" t="str">
        <f aca="false">IF(A450="","",IFERROR(INDEX(Customers!$B$5:$B$204,MATCH(C450,Customers!$A$5:$A$204,0))&amp;"",""))</f>
        <v/>
      </c>
      <c r="U450" s="38" t="str">
        <f aca="false">IF(A450="","",IF(T450&lt;&gt;"","B2B",IF(AND(O450="Yes",SUMIF($A$5:$A$1004,A450,$L$5:$L$1004)+SUMIF($A$5:$A$1004,A450,$P$5:$P$1004)&gt;100000),"B2CL","B2CS")))</f>
        <v/>
      </c>
      <c r="V450" s="17" t="str">
        <f aca="false">IF(A450="","",TEXT(B450,"mmm-yyyy"))</f>
        <v/>
      </c>
    </row>
    <row r="451" customFormat="false" ht="15" hidden="false" customHeight="true" outlineLevel="0" collapsed="false">
      <c r="A451" s="24"/>
      <c r="B451" s="39"/>
      <c r="C451" s="24"/>
      <c r="D451" s="24"/>
      <c r="E451" s="40"/>
      <c r="F451" s="29"/>
      <c r="G451" s="30"/>
      <c r="H451" s="17" t="str">
        <f aca="false">IF(A451="","",A451&amp;"|"&amp;COUNTIF(A$5:A451,A451))</f>
        <v/>
      </c>
      <c r="I451" s="33" t="str">
        <f aca="false">IF(A451="","",IFERROR(INDEX(Items!$B$5:$B$304,MATCH(D451,Items!$A$5:$A$304,0))&amp;"",""))</f>
        <v/>
      </c>
      <c r="J451" s="34" t="str">
        <f aca="false">IF(A451="","",IFERROR(INDEX(Items!$C$5:$C$304,MATCH(D451,Items!$A$5:$A$304,0))&amp;"",""))</f>
        <v/>
      </c>
      <c r="K451" s="35" t="n">
        <f aca="false">IF(A451="",0,IF(ISNUMBER(F451),F451,IFERROR(INDEX(Items!$D$5:$D$304,MATCH(D451,Items!$A$5:$A$304,0)),0)))</f>
        <v>0</v>
      </c>
      <c r="L451" s="35" t="n">
        <f aca="false">ROUND(N(E451)*K451*(1-N(G451)),2)</f>
        <v>0</v>
      </c>
      <c r="M451" s="36" t="n">
        <f aca="false">IF(A451="",0,IFERROR(INDEX(Items!$E$5:$E$304,MATCH(D451,Items!$A$5:$A$304,0)),0))</f>
        <v>0</v>
      </c>
      <c r="N451" s="37" t="str">
        <f aca="false">IF(A451="","",IFERROR(INDEX(Customers!$E$5:$E$204,MATCH(C451,Customers!$A$5:$A$204,0)),"?"))</f>
        <v/>
      </c>
      <c r="O451" s="38" t="str">
        <f aca="false">IF(A451="","",IF(N451=Settings!$B$17,"No","Yes"))</f>
        <v/>
      </c>
      <c r="P451" s="35" t="n">
        <f aca="false">IF(O451="Yes",ROUND(L451*M451,2),0)</f>
        <v>0</v>
      </c>
      <c r="Q451" s="35" t="n">
        <f aca="false">IF(O451="No",ROUND(L451*M451/2,2),0)</f>
        <v>0</v>
      </c>
      <c r="R451" s="35" t="n">
        <f aca="false">Q451</f>
        <v>0</v>
      </c>
      <c r="S451" s="35" t="n">
        <f aca="false">L451+P451+Q451+R451</f>
        <v>0</v>
      </c>
      <c r="T451" s="34" t="str">
        <f aca="false">IF(A451="","",IFERROR(INDEX(Customers!$B$5:$B$204,MATCH(C451,Customers!$A$5:$A$204,0))&amp;"",""))</f>
        <v/>
      </c>
      <c r="U451" s="38" t="str">
        <f aca="false">IF(A451="","",IF(T451&lt;&gt;"","B2B",IF(AND(O451="Yes",SUMIF($A$5:$A$1004,A451,$L$5:$L$1004)+SUMIF($A$5:$A$1004,A451,$P$5:$P$1004)&gt;100000),"B2CL","B2CS")))</f>
        <v/>
      </c>
      <c r="V451" s="17" t="str">
        <f aca="false">IF(A451="","",TEXT(B451,"mmm-yyyy"))</f>
        <v/>
      </c>
    </row>
    <row r="452" customFormat="false" ht="15" hidden="false" customHeight="true" outlineLevel="0" collapsed="false">
      <c r="A452" s="24"/>
      <c r="B452" s="39"/>
      <c r="C452" s="24"/>
      <c r="D452" s="24"/>
      <c r="E452" s="40"/>
      <c r="F452" s="29"/>
      <c r="G452" s="30"/>
      <c r="H452" s="17" t="str">
        <f aca="false">IF(A452="","",A452&amp;"|"&amp;COUNTIF(A$5:A452,A452))</f>
        <v/>
      </c>
      <c r="I452" s="33" t="str">
        <f aca="false">IF(A452="","",IFERROR(INDEX(Items!$B$5:$B$304,MATCH(D452,Items!$A$5:$A$304,0))&amp;"",""))</f>
        <v/>
      </c>
      <c r="J452" s="34" t="str">
        <f aca="false">IF(A452="","",IFERROR(INDEX(Items!$C$5:$C$304,MATCH(D452,Items!$A$5:$A$304,0))&amp;"",""))</f>
        <v/>
      </c>
      <c r="K452" s="35" t="n">
        <f aca="false">IF(A452="",0,IF(ISNUMBER(F452),F452,IFERROR(INDEX(Items!$D$5:$D$304,MATCH(D452,Items!$A$5:$A$304,0)),0)))</f>
        <v>0</v>
      </c>
      <c r="L452" s="35" t="n">
        <f aca="false">ROUND(N(E452)*K452*(1-N(G452)),2)</f>
        <v>0</v>
      </c>
      <c r="M452" s="36" t="n">
        <f aca="false">IF(A452="",0,IFERROR(INDEX(Items!$E$5:$E$304,MATCH(D452,Items!$A$5:$A$304,0)),0))</f>
        <v>0</v>
      </c>
      <c r="N452" s="37" t="str">
        <f aca="false">IF(A452="","",IFERROR(INDEX(Customers!$E$5:$E$204,MATCH(C452,Customers!$A$5:$A$204,0)),"?"))</f>
        <v/>
      </c>
      <c r="O452" s="38" t="str">
        <f aca="false">IF(A452="","",IF(N452=Settings!$B$17,"No","Yes"))</f>
        <v/>
      </c>
      <c r="P452" s="35" t="n">
        <f aca="false">IF(O452="Yes",ROUND(L452*M452,2),0)</f>
        <v>0</v>
      </c>
      <c r="Q452" s="35" t="n">
        <f aca="false">IF(O452="No",ROUND(L452*M452/2,2),0)</f>
        <v>0</v>
      </c>
      <c r="R452" s="35" t="n">
        <f aca="false">Q452</f>
        <v>0</v>
      </c>
      <c r="S452" s="35" t="n">
        <f aca="false">L452+P452+Q452+R452</f>
        <v>0</v>
      </c>
      <c r="T452" s="34" t="str">
        <f aca="false">IF(A452="","",IFERROR(INDEX(Customers!$B$5:$B$204,MATCH(C452,Customers!$A$5:$A$204,0))&amp;"",""))</f>
        <v/>
      </c>
      <c r="U452" s="38" t="str">
        <f aca="false">IF(A452="","",IF(T452&lt;&gt;"","B2B",IF(AND(O452="Yes",SUMIF($A$5:$A$1004,A452,$L$5:$L$1004)+SUMIF($A$5:$A$1004,A452,$P$5:$P$1004)&gt;100000),"B2CL","B2CS")))</f>
        <v/>
      </c>
      <c r="V452" s="17" t="str">
        <f aca="false">IF(A452="","",TEXT(B452,"mmm-yyyy"))</f>
        <v/>
      </c>
    </row>
    <row r="453" customFormat="false" ht="15" hidden="false" customHeight="true" outlineLevel="0" collapsed="false">
      <c r="A453" s="24"/>
      <c r="B453" s="39"/>
      <c r="C453" s="24"/>
      <c r="D453" s="24"/>
      <c r="E453" s="40"/>
      <c r="F453" s="29"/>
      <c r="G453" s="30"/>
      <c r="H453" s="17" t="str">
        <f aca="false">IF(A453="","",A453&amp;"|"&amp;COUNTIF(A$5:A453,A453))</f>
        <v/>
      </c>
      <c r="I453" s="33" t="str">
        <f aca="false">IF(A453="","",IFERROR(INDEX(Items!$B$5:$B$304,MATCH(D453,Items!$A$5:$A$304,0))&amp;"",""))</f>
        <v/>
      </c>
      <c r="J453" s="34" t="str">
        <f aca="false">IF(A453="","",IFERROR(INDEX(Items!$C$5:$C$304,MATCH(D453,Items!$A$5:$A$304,0))&amp;"",""))</f>
        <v/>
      </c>
      <c r="K453" s="35" t="n">
        <f aca="false">IF(A453="",0,IF(ISNUMBER(F453),F453,IFERROR(INDEX(Items!$D$5:$D$304,MATCH(D453,Items!$A$5:$A$304,0)),0)))</f>
        <v>0</v>
      </c>
      <c r="L453" s="35" t="n">
        <f aca="false">ROUND(N(E453)*K453*(1-N(G453)),2)</f>
        <v>0</v>
      </c>
      <c r="M453" s="36" t="n">
        <f aca="false">IF(A453="",0,IFERROR(INDEX(Items!$E$5:$E$304,MATCH(D453,Items!$A$5:$A$304,0)),0))</f>
        <v>0</v>
      </c>
      <c r="N453" s="37" t="str">
        <f aca="false">IF(A453="","",IFERROR(INDEX(Customers!$E$5:$E$204,MATCH(C453,Customers!$A$5:$A$204,0)),"?"))</f>
        <v/>
      </c>
      <c r="O453" s="38" t="str">
        <f aca="false">IF(A453="","",IF(N453=Settings!$B$17,"No","Yes"))</f>
        <v/>
      </c>
      <c r="P453" s="35" t="n">
        <f aca="false">IF(O453="Yes",ROUND(L453*M453,2),0)</f>
        <v>0</v>
      </c>
      <c r="Q453" s="35" t="n">
        <f aca="false">IF(O453="No",ROUND(L453*M453/2,2),0)</f>
        <v>0</v>
      </c>
      <c r="R453" s="35" t="n">
        <f aca="false">Q453</f>
        <v>0</v>
      </c>
      <c r="S453" s="35" t="n">
        <f aca="false">L453+P453+Q453+R453</f>
        <v>0</v>
      </c>
      <c r="T453" s="34" t="str">
        <f aca="false">IF(A453="","",IFERROR(INDEX(Customers!$B$5:$B$204,MATCH(C453,Customers!$A$5:$A$204,0))&amp;"",""))</f>
        <v/>
      </c>
      <c r="U453" s="38" t="str">
        <f aca="false">IF(A453="","",IF(T453&lt;&gt;"","B2B",IF(AND(O453="Yes",SUMIF($A$5:$A$1004,A453,$L$5:$L$1004)+SUMIF($A$5:$A$1004,A453,$P$5:$P$1004)&gt;100000),"B2CL","B2CS")))</f>
        <v/>
      </c>
      <c r="V453" s="17" t="str">
        <f aca="false">IF(A453="","",TEXT(B453,"mmm-yyyy"))</f>
        <v/>
      </c>
    </row>
    <row r="454" customFormat="false" ht="15" hidden="false" customHeight="true" outlineLevel="0" collapsed="false">
      <c r="A454" s="24"/>
      <c r="B454" s="39"/>
      <c r="C454" s="24"/>
      <c r="D454" s="24"/>
      <c r="E454" s="40"/>
      <c r="F454" s="29"/>
      <c r="G454" s="30"/>
      <c r="H454" s="17" t="str">
        <f aca="false">IF(A454="","",A454&amp;"|"&amp;COUNTIF(A$5:A454,A454))</f>
        <v/>
      </c>
      <c r="I454" s="33" t="str">
        <f aca="false">IF(A454="","",IFERROR(INDEX(Items!$B$5:$B$304,MATCH(D454,Items!$A$5:$A$304,0))&amp;"",""))</f>
        <v/>
      </c>
      <c r="J454" s="34" t="str">
        <f aca="false">IF(A454="","",IFERROR(INDEX(Items!$C$5:$C$304,MATCH(D454,Items!$A$5:$A$304,0))&amp;"",""))</f>
        <v/>
      </c>
      <c r="K454" s="35" t="n">
        <f aca="false">IF(A454="",0,IF(ISNUMBER(F454),F454,IFERROR(INDEX(Items!$D$5:$D$304,MATCH(D454,Items!$A$5:$A$304,0)),0)))</f>
        <v>0</v>
      </c>
      <c r="L454" s="35" t="n">
        <f aca="false">ROUND(N(E454)*K454*(1-N(G454)),2)</f>
        <v>0</v>
      </c>
      <c r="M454" s="36" t="n">
        <f aca="false">IF(A454="",0,IFERROR(INDEX(Items!$E$5:$E$304,MATCH(D454,Items!$A$5:$A$304,0)),0))</f>
        <v>0</v>
      </c>
      <c r="N454" s="37" t="str">
        <f aca="false">IF(A454="","",IFERROR(INDEX(Customers!$E$5:$E$204,MATCH(C454,Customers!$A$5:$A$204,0)),"?"))</f>
        <v/>
      </c>
      <c r="O454" s="38" t="str">
        <f aca="false">IF(A454="","",IF(N454=Settings!$B$17,"No","Yes"))</f>
        <v/>
      </c>
      <c r="P454" s="35" t="n">
        <f aca="false">IF(O454="Yes",ROUND(L454*M454,2),0)</f>
        <v>0</v>
      </c>
      <c r="Q454" s="35" t="n">
        <f aca="false">IF(O454="No",ROUND(L454*M454/2,2),0)</f>
        <v>0</v>
      </c>
      <c r="R454" s="35" t="n">
        <f aca="false">Q454</f>
        <v>0</v>
      </c>
      <c r="S454" s="35" t="n">
        <f aca="false">L454+P454+Q454+R454</f>
        <v>0</v>
      </c>
      <c r="T454" s="34" t="str">
        <f aca="false">IF(A454="","",IFERROR(INDEX(Customers!$B$5:$B$204,MATCH(C454,Customers!$A$5:$A$204,0))&amp;"",""))</f>
        <v/>
      </c>
      <c r="U454" s="38" t="str">
        <f aca="false">IF(A454="","",IF(T454&lt;&gt;"","B2B",IF(AND(O454="Yes",SUMIF($A$5:$A$1004,A454,$L$5:$L$1004)+SUMIF($A$5:$A$1004,A454,$P$5:$P$1004)&gt;100000),"B2CL","B2CS")))</f>
        <v/>
      </c>
      <c r="V454" s="17" t="str">
        <f aca="false">IF(A454="","",TEXT(B454,"mmm-yyyy"))</f>
        <v/>
      </c>
    </row>
    <row r="455" customFormat="false" ht="15" hidden="false" customHeight="true" outlineLevel="0" collapsed="false">
      <c r="A455" s="24"/>
      <c r="B455" s="39"/>
      <c r="C455" s="24"/>
      <c r="D455" s="24"/>
      <c r="E455" s="40"/>
      <c r="F455" s="29"/>
      <c r="G455" s="30"/>
      <c r="H455" s="17" t="str">
        <f aca="false">IF(A455="","",A455&amp;"|"&amp;COUNTIF(A$5:A455,A455))</f>
        <v/>
      </c>
      <c r="I455" s="33" t="str">
        <f aca="false">IF(A455="","",IFERROR(INDEX(Items!$B$5:$B$304,MATCH(D455,Items!$A$5:$A$304,0))&amp;"",""))</f>
        <v/>
      </c>
      <c r="J455" s="34" t="str">
        <f aca="false">IF(A455="","",IFERROR(INDEX(Items!$C$5:$C$304,MATCH(D455,Items!$A$5:$A$304,0))&amp;"",""))</f>
        <v/>
      </c>
      <c r="K455" s="35" t="n">
        <f aca="false">IF(A455="",0,IF(ISNUMBER(F455),F455,IFERROR(INDEX(Items!$D$5:$D$304,MATCH(D455,Items!$A$5:$A$304,0)),0)))</f>
        <v>0</v>
      </c>
      <c r="L455" s="35" t="n">
        <f aca="false">ROUND(N(E455)*K455*(1-N(G455)),2)</f>
        <v>0</v>
      </c>
      <c r="M455" s="36" t="n">
        <f aca="false">IF(A455="",0,IFERROR(INDEX(Items!$E$5:$E$304,MATCH(D455,Items!$A$5:$A$304,0)),0))</f>
        <v>0</v>
      </c>
      <c r="N455" s="37" t="str">
        <f aca="false">IF(A455="","",IFERROR(INDEX(Customers!$E$5:$E$204,MATCH(C455,Customers!$A$5:$A$204,0)),"?"))</f>
        <v/>
      </c>
      <c r="O455" s="38" t="str">
        <f aca="false">IF(A455="","",IF(N455=Settings!$B$17,"No","Yes"))</f>
        <v/>
      </c>
      <c r="P455" s="35" t="n">
        <f aca="false">IF(O455="Yes",ROUND(L455*M455,2),0)</f>
        <v>0</v>
      </c>
      <c r="Q455" s="35" t="n">
        <f aca="false">IF(O455="No",ROUND(L455*M455/2,2),0)</f>
        <v>0</v>
      </c>
      <c r="R455" s="35" t="n">
        <f aca="false">Q455</f>
        <v>0</v>
      </c>
      <c r="S455" s="35" t="n">
        <f aca="false">L455+P455+Q455+R455</f>
        <v>0</v>
      </c>
      <c r="T455" s="34" t="str">
        <f aca="false">IF(A455="","",IFERROR(INDEX(Customers!$B$5:$B$204,MATCH(C455,Customers!$A$5:$A$204,0))&amp;"",""))</f>
        <v/>
      </c>
      <c r="U455" s="38" t="str">
        <f aca="false">IF(A455="","",IF(T455&lt;&gt;"","B2B",IF(AND(O455="Yes",SUMIF($A$5:$A$1004,A455,$L$5:$L$1004)+SUMIF($A$5:$A$1004,A455,$P$5:$P$1004)&gt;100000),"B2CL","B2CS")))</f>
        <v/>
      </c>
      <c r="V455" s="17" t="str">
        <f aca="false">IF(A455="","",TEXT(B455,"mmm-yyyy"))</f>
        <v/>
      </c>
    </row>
    <row r="456" customFormat="false" ht="15" hidden="false" customHeight="true" outlineLevel="0" collapsed="false">
      <c r="A456" s="24"/>
      <c r="B456" s="39"/>
      <c r="C456" s="24"/>
      <c r="D456" s="24"/>
      <c r="E456" s="40"/>
      <c r="F456" s="29"/>
      <c r="G456" s="30"/>
      <c r="H456" s="17" t="str">
        <f aca="false">IF(A456="","",A456&amp;"|"&amp;COUNTIF(A$5:A456,A456))</f>
        <v/>
      </c>
      <c r="I456" s="33" t="str">
        <f aca="false">IF(A456="","",IFERROR(INDEX(Items!$B$5:$B$304,MATCH(D456,Items!$A$5:$A$304,0))&amp;"",""))</f>
        <v/>
      </c>
      <c r="J456" s="34" t="str">
        <f aca="false">IF(A456="","",IFERROR(INDEX(Items!$C$5:$C$304,MATCH(D456,Items!$A$5:$A$304,0))&amp;"",""))</f>
        <v/>
      </c>
      <c r="K456" s="35" t="n">
        <f aca="false">IF(A456="",0,IF(ISNUMBER(F456),F456,IFERROR(INDEX(Items!$D$5:$D$304,MATCH(D456,Items!$A$5:$A$304,0)),0)))</f>
        <v>0</v>
      </c>
      <c r="L456" s="35" t="n">
        <f aca="false">ROUND(N(E456)*K456*(1-N(G456)),2)</f>
        <v>0</v>
      </c>
      <c r="M456" s="36" t="n">
        <f aca="false">IF(A456="",0,IFERROR(INDEX(Items!$E$5:$E$304,MATCH(D456,Items!$A$5:$A$304,0)),0))</f>
        <v>0</v>
      </c>
      <c r="N456" s="37" t="str">
        <f aca="false">IF(A456="","",IFERROR(INDEX(Customers!$E$5:$E$204,MATCH(C456,Customers!$A$5:$A$204,0)),"?"))</f>
        <v/>
      </c>
      <c r="O456" s="38" t="str">
        <f aca="false">IF(A456="","",IF(N456=Settings!$B$17,"No","Yes"))</f>
        <v/>
      </c>
      <c r="P456" s="35" t="n">
        <f aca="false">IF(O456="Yes",ROUND(L456*M456,2),0)</f>
        <v>0</v>
      </c>
      <c r="Q456" s="35" t="n">
        <f aca="false">IF(O456="No",ROUND(L456*M456/2,2),0)</f>
        <v>0</v>
      </c>
      <c r="R456" s="35" t="n">
        <f aca="false">Q456</f>
        <v>0</v>
      </c>
      <c r="S456" s="35" t="n">
        <f aca="false">L456+P456+Q456+R456</f>
        <v>0</v>
      </c>
      <c r="T456" s="34" t="str">
        <f aca="false">IF(A456="","",IFERROR(INDEX(Customers!$B$5:$B$204,MATCH(C456,Customers!$A$5:$A$204,0))&amp;"",""))</f>
        <v/>
      </c>
      <c r="U456" s="38" t="str">
        <f aca="false">IF(A456="","",IF(T456&lt;&gt;"","B2B",IF(AND(O456="Yes",SUMIF($A$5:$A$1004,A456,$L$5:$L$1004)+SUMIF($A$5:$A$1004,A456,$P$5:$P$1004)&gt;100000),"B2CL","B2CS")))</f>
        <v/>
      </c>
      <c r="V456" s="17" t="str">
        <f aca="false">IF(A456="","",TEXT(B456,"mmm-yyyy"))</f>
        <v/>
      </c>
    </row>
    <row r="457" customFormat="false" ht="15" hidden="false" customHeight="true" outlineLevel="0" collapsed="false">
      <c r="A457" s="24"/>
      <c r="B457" s="39"/>
      <c r="C457" s="24"/>
      <c r="D457" s="24"/>
      <c r="E457" s="40"/>
      <c r="F457" s="29"/>
      <c r="G457" s="30"/>
      <c r="H457" s="17" t="str">
        <f aca="false">IF(A457="","",A457&amp;"|"&amp;COUNTIF(A$5:A457,A457))</f>
        <v/>
      </c>
      <c r="I457" s="33" t="str">
        <f aca="false">IF(A457="","",IFERROR(INDEX(Items!$B$5:$B$304,MATCH(D457,Items!$A$5:$A$304,0))&amp;"",""))</f>
        <v/>
      </c>
      <c r="J457" s="34" t="str">
        <f aca="false">IF(A457="","",IFERROR(INDEX(Items!$C$5:$C$304,MATCH(D457,Items!$A$5:$A$304,0))&amp;"",""))</f>
        <v/>
      </c>
      <c r="K457" s="35" t="n">
        <f aca="false">IF(A457="",0,IF(ISNUMBER(F457),F457,IFERROR(INDEX(Items!$D$5:$D$304,MATCH(D457,Items!$A$5:$A$304,0)),0)))</f>
        <v>0</v>
      </c>
      <c r="L457" s="35" t="n">
        <f aca="false">ROUND(N(E457)*K457*(1-N(G457)),2)</f>
        <v>0</v>
      </c>
      <c r="M457" s="36" t="n">
        <f aca="false">IF(A457="",0,IFERROR(INDEX(Items!$E$5:$E$304,MATCH(D457,Items!$A$5:$A$304,0)),0))</f>
        <v>0</v>
      </c>
      <c r="N457" s="37" t="str">
        <f aca="false">IF(A457="","",IFERROR(INDEX(Customers!$E$5:$E$204,MATCH(C457,Customers!$A$5:$A$204,0)),"?"))</f>
        <v/>
      </c>
      <c r="O457" s="38" t="str">
        <f aca="false">IF(A457="","",IF(N457=Settings!$B$17,"No","Yes"))</f>
        <v/>
      </c>
      <c r="P457" s="35" t="n">
        <f aca="false">IF(O457="Yes",ROUND(L457*M457,2),0)</f>
        <v>0</v>
      </c>
      <c r="Q457" s="35" t="n">
        <f aca="false">IF(O457="No",ROUND(L457*M457/2,2),0)</f>
        <v>0</v>
      </c>
      <c r="R457" s="35" t="n">
        <f aca="false">Q457</f>
        <v>0</v>
      </c>
      <c r="S457" s="35" t="n">
        <f aca="false">L457+P457+Q457+R457</f>
        <v>0</v>
      </c>
      <c r="T457" s="34" t="str">
        <f aca="false">IF(A457="","",IFERROR(INDEX(Customers!$B$5:$B$204,MATCH(C457,Customers!$A$5:$A$204,0))&amp;"",""))</f>
        <v/>
      </c>
      <c r="U457" s="38" t="str">
        <f aca="false">IF(A457="","",IF(T457&lt;&gt;"","B2B",IF(AND(O457="Yes",SUMIF($A$5:$A$1004,A457,$L$5:$L$1004)+SUMIF($A$5:$A$1004,A457,$P$5:$P$1004)&gt;100000),"B2CL","B2CS")))</f>
        <v/>
      </c>
      <c r="V457" s="17" t="str">
        <f aca="false">IF(A457="","",TEXT(B457,"mmm-yyyy"))</f>
        <v/>
      </c>
    </row>
    <row r="458" customFormat="false" ht="15" hidden="false" customHeight="true" outlineLevel="0" collapsed="false">
      <c r="A458" s="24"/>
      <c r="B458" s="39"/>
      <c r="C458" s="24"/>
      <c r="D458" s="24"/>
      <c r="E458" s="40"/>
      <c r="F458" s="29"/>
      <c r="G458" s="30"/>
      <c r="H458" s="17" t="str">
        <f aca="false">IF(A458="","",A458&amp;"|"&amp;COUNTIF(A$5:A458,A458))</f>
        <v/>
      </c>
      <c r="I458" s="33" t="str">
        <f aca="false">IF(A458="","",IFERROR(INDEX(Items!$B$5:$B$304,MATCH(D458,Items!$A$5:$A$304,0))&amp;"",""))</f>
        <v/>
      </c>
      <c r="J458" s="34" t="str">
        <f aca="false">IF(A458="","",IFERROR(INDEX(Items!$C$5:$C$304,MATCH(D458,Items!$A$5:$A$304,0))&amp;"",""))</f>
        <v/>
      </c>
      <c r="K458" s="35" t="n">
        <f aca="false">IF(A458="",0,IF(ISNUMBER(F458),F458,IFERROR(INDEX(Items!$D$5:$D$304,MATCH(D458,Items!$A$5:$A$304,0)),0)))</f>
        <v>0</v>
      </c>
      <c r="L458" s="35" t="n">
        <f aca="false">ROUND(N(E458)*K458*(1-N(G458)),2)</f>
        <v>0</v>
      </c>
      <c r="M458" s="36" t="n">
        <f aca="false">IF(A458="",0,IFERROR(INDEX(Items!$E$5:$E$304,MATCH(D458,Items!$A$5:$A$304,0)),0))</f>
        <v>0</v>
      </c>
      <c r="N458" s="37" t="str">
        <f aca="false">IF(A458="","",IFERROR(INDEX(Customers!$E$5:$E$204,MATCH(C458,Customers!$A$5:$A$204,0)),"?"))</f>
        <v/>
      </c>
      <c r="O458" s="38" t="str">
        <f aca="false">IF(A458="","",IF(N458=Settings!$B$17,"No","Yes"))</f>
        <v/>
      </c>
      <c r="P458" s="35" t="n">
        <f aca="false">IF(O458="Yes",ROUND(L458*M458,2),0)</f>
        <v>0</v>
      </c>
      <c r="Q458" s="35" t="n">
        <f aca="false">IF(O458="No",ROUND(L458*M458/2,2),0)</f>
        <v>0</v>
      </c>
      <c r="R458" s="35" t="n">
        <f aca="false">Q458</f>
        <v>0</v>
      </c>
      <c r="S458" s="35" t="n">
        <f aca="false">L458+P458+Q458+R458</f>
        <v>0</v>
      </c>
      <c r="T458" s="34" t="str">
        <f aca="false">IF(A458="","",IFERROR(INDEX(Customers!$B$5:$B$204,MATCH(C458,Customers!$A$5:$A$204,0))&amp;"",""))</f>
        <v/>
      </c>
      <c r="U458" s="38" t="str">
        <f aca="false">IF(A458="","",IF(T458&lt;&gt;"","B2B",IF(AND(O458="Yes",SUMIF($A$5:$A$1004,A458,$L$5:$L$1004)+SUMIF($A$5:$A$1004,A458,$P$5:$P$1004)&gt;100000),"B2CL","B2CS")))</f>
        <v/>
      </c>
      <c r="V458" s="17" t="str">
        <f aca="false">IF(A458="","",TEXT(B458,"mmm-yyyy"))</f>
        <v/>
      </c>
    </row>
    <row r="459" customFormat="false" ht="15" hidden="false" customHeight="true" outlineLevel="0" collapsed="false">
      <c r="A459" s="24"/>
      <c r="B459" s="39"/>
      <c r="C459" s="24"/>
      <c r="D459" s="24"/>
      <c r="E459" s="40"/>
      <c r="F459" s="29"/>
      <c r="G459" s="30"/>
      <c r="H459" s="17" t="str">
        <f aca="false">IF(A459="","",A459&amp;"|"&amp;COUNTIF(A$5:A459,A459))</f>
        <v/>
      </c>
      <c r="I459" s="33" t="str">
        <f aca="false">IF(A459="","",IFERROR(INDEX(Items!$B$5:$B$304,MATCH(D459,Items!$A$5:$A$304,0))&amp;"",""))</f>
        <v/>
      </c>
      <c r="J459" s="34" t="str">
        <f aca="false">IF(A459="","",IFERROR(INDEX(Items!$C$5:$C$304,MATCH(D459,Items!$A$5:$A$304,0))&amp;"",""))</f>
        <v/>
      </c>
      <c r="K459" s="35" t="n">
        <f aca="false">IF(A459="",0,IF(ISNUMBER(F459),F459,IFERROR(INDEX(Items!$D$5:$D$304,MATCH(D459,Items!$A$5:$A$304,0)),0)))</f>
        <v>0</v>
      </c>
      <c r="L459" s="35" t="n">
        <f aca="false">ROUND(N(E459)*K459*(1-N(G459)),2)</f>
        <v>0</v>
      </c>
      <c r="M459" s="36" t="n">
        <f aca="false">IF(A459="",0,IFERROR(INDEX(Items!$E$5:$E$304,MATCH(D459,Items!$A$5:$A$304,0)),0))</f>
        <v>0</v>
      </c>
      <c r="N459" s="37" t="str">
        <f aca="false">IF(A459="","",IFERROR(INDEX(Customers!$E$5:$E$204,MATCH(C459,Customers!$A$5:$A$204,0)),"?"))</f>
        <v/>
      </c>
      <c r="O459" s="38" t="str">
        <f aca="false">IF(A459="","",IF(N459=Settings!$B$17,"No","Yes"))</f>
        <v/>
      </c>
      <c r="P459" s="35" t="n">
        <f aca="false">IF(O459="Yes",ROUND(L459*M459,2),0)</f>
        <v>0</v>
      </c>
      <c r="Q459" s="35" t="n">
        <f aca="false">IF(O459="No",ROUND(L459*M459/2,2),0)</f>
        <v>0</v>
      </c>
      <c r="R459" s="35" t="n">
        <f aca="false">Q459</f>
        <v>0</v>
      </c>
      <c r="S459" s="35" t="n">
        <f aca="false">L459+P459+Q459+R459</f>
        <v>0</v>
      </c>
      <c r="T459" s="34" t="str">
        <f aca="false">IF(A459="","",IFERROR(INDEX(Customers!$B$5:$B$204,MATCH(C459,Customers!$A$5:$A$204,0))&amp;"",""))</f>
        <v/>
      </c>
      <c r="U459" s="38" t="str">
        <f aca="false">IF(A459="","",IF(T459&lt;&gt;"","B2B",IF(AND(O459="Yes",SUMIF($A$5:$A$1004,A459,$L$5:$L$1004)+SUMIF($A$5:$A$1004,A459,$P$5:$P$1004)&gt;100000),"B2CL","B2CS")))</f>
        <v/>
      </c>
      <c r="V459" s="17" t="str">
        <f aca="false">IF(A459="","",TEXT(B459,"mmm-yyyy"))</f>
        <v/>
      </c>
    </row>
    <row r="460" customFormat="false" ht="15" hidden="false" customHeight="true" outlineLevel="0" collapsed="false">
      <c r="A460" s="24"/>
      <c r="B460" s="39"/>
      <c r="C460" s="24"/>
      <c r="D460" s="24"/>
      <c r="E460" s="40"/>
      <c r="F460" s="29"/>
      <c r="G460" s="30"/>
      <c r="H460" s="17" t="str">
        <f aca="false">IF(A460="","",A460&amp;"|"&amp;COUNTIF(A$5:A460,A460))</f>
        <v/>
      </c>
      <c r="I460" s="33" t="str">
        <f aca="false">IF(A460="","",IFERROR(INDEX(Items!$B$5:$B$304,MATCH(D460,Items!$A$5:$A$304,0))&amp;"",""))</f>
        <v/>
      </c>
      <c r="J460" s="34" t="str">
        <f aca="false">IF(A460="","",IFERROR(INDEX(Items!$C$5:$C$304,MATCH(D460,Items!$A$5:$A$304,0))&amp;"",""))</f>
        <v/>
      </c>
      <c r="K460" s="35" t="n">
        <f aca="false">IF(A460="",0,IF(ISNUMBER(F460),F460,IFERROR(INDEX(Items!$D$5:$D$304,MATCH(D460,Items!$A$5:$A$304,0)),0)))</f>
        <v>0</v>
      </c>
      <c r="L460" s="35" t="n">
        <f aca="false">ROUND(N(E460)*K460*(1-N(G460)),2)</f>
        <v>0</v>
      </c>
      <c r="M460" s="36" t="n">
        <f aca="false">IF(A460="",0,IFERROR(INDEX(Items!$E$5:$E$304,MATCH(D460,Items!$A$5:$A$304,0)),0))</f>
        <v>0</v>
      </c>
      <c r="N460" s="37" t="str">
        <f aca="false">IF(A460="","",IFERROR(INDEX(Customers!$E$5:$E$204,MATCH(C460,Customers!$A$5:$A$204,0)),"?"))</f>
        <v/>
      </c>
      <c r="O460" s="38" t="str">
        <f aca="false">IF(A460="","",IF(N460=Settings!$B$17,"No","Yes"))</f>
        <v/>
      </c>
      <c r="P460" s="35" t="n">
        <f aca="false">IF(O460="Yes",ROUND(L460*M460,2),0)</f>
        <v>0</v>
      </c>
      <c r="Q460" s="35" t="n">
        <f aca="false">IF(O460="No",ROUND(L460*M460/2,2),0)</f>
        <v>0</v>
      </c>
      <c r="R460" s="35" t="n">
        <f aca="false">Q460</f>
        <v>0</v>
      </c>
      <c r="S460" s="35" t="n">
        <f aca="false">L460+P460+Q460+R460</f>
        <v>0</v>
      </c>
      <c r="T460" s="34" t="str">
        <f aca="false">IF(A460="","",IFERROR(INDEX(Customers!$B$5:$B$204,MATCH(C460,Customers!$A$5:$A$204,0))&amp;"",""))</f>
        <v/>
      </c>
      <c r="U460" s="38" t="str">
        <f aca="false">IF(A460="","",IF(T460&lt;&gt;"","B2B",IF(AND(O460="Yes",SUMIF($A$5:$A$1004,A460,$L$5:$L$1004)+SUMIF($A$5:$A$1004,A460,$P$5:$P$1004)&gt;100000),"B2CL","B2CS")))</f>
        <v/>
      </c>
      <c r="V460" s="17" t="str">
        <f aca="false">IF(A460="","",TEXT(B460,"mmm-yyyy"))</f>
        <v/>
      </c>
    </row>
    <row r="461" customFormat="false" ht="15" hidden="false" customHeight="true" outlineLevel="0" collapsed="false">
      <c r="A461" s="24"/>
      <c r="B461" s="39"/>
      <c r="C461" s="24"/>
      <c r="D461" s="24"/>
      <c r="E461" s="40"/>
      <c r="F461" s="29"/>
      <c r="G461" s="30"/>
      <c r="H461" s="17" t="str">
        <f aca="false">IF(A461="","",A461&amp;"|"&amp;COUNTIF(A$5:A461,A461))</f>
        <v/>
      </c>
      <c r="I461" s="33" t="str">
        <f aca="false">IF(A461="","",IFERROR(INDEX(Items!$B$5:$B$304,MATCH(D461,Items!$A$5:$A$304,0))&amp;"",""))</f>
        <v/>
      </c>
      <c r="J461" s="34" t="str">
        <f aca="false">IF(A461="","",IFERROR(INDEX(Items!$C$5:$C$304,MATCH(D461,Items!$A$5:$A$304,0))&amp;"",""))</f>
        <v/>
      </c>
      <c r="K461" s="35" t="n">
        <f aca="false">IF(A461="",0,IF(ISNUMBER(F461),F461,IFERROR(INDEX(Items!$D$5:$D$304,MATCH(D461,Items!$A$5:$A$304,0)),0)))</f>
        <v>0</v>
      </c>
      <c r="L461" s="35" t="n">
        <f aca="false">ROUND(N(E461)*K461*(1-N(G461)),2)</f>
        <v>0</v>
      </c>
      <c r="M461" s="36" t="n">
        <f aca="false">IF(A461="",0,IFERROR(INDEX(Items!$E$5:$E$304,MATCH(D461,Items!$A$5:$A$304,0)),0))</f>
        <v>0</v>
      </c>
      <c r="N461" s="37" t="str">
        <f aca="false">IF(A461="","",IFERROR(INDEX(Customers!$E$5:$E$204,MATCH(C461,Customers!$A$5:$A$204,0)),"?"))</f>
        <v/>
      </c>
      <c r="O461" s="38" t="str">
        <f aca="false">IF(A461="","",IF(N461=Settings!$B$17,"No","Yes"))</f>
        <v/>
      </c>
      <c r="P461" s="35" t="n">
        <f aca="false">IF(O461="Yes",ROUND(L461*M461,2),0)</f>
        <v>0</v>
      </c>
      <c r="Q461" s="35" t="n">
        <f aca="false">IF(O461="No",ROUND(L461*M461/2,2),0)</f>
        <v>0</v>
      </c>
      <c r="R461" s="35" t="n">
        <f aca="false">Q461</f>
        <v>0</v>
      </c>
      <c r="S461" s="35" t="n">
        <f aca="false">L461+P461+Q461+R461</f>
        <v>0</v>
      </c>
      <c r="T461" s="34" t="str">
        <f aca="false">IF(A461="","",IFERROR(INDEX(Customers!$B$5:$B$204,MATCH(C461,Customers!$A$5:$A$204,0))&amp;"",""))</f>
        <v/>
      </c>
      <c r="U461" s="38" t="str">
        <f aca="false">IF(A461="","",IF(T461&lt;&gt;"","B2B",IF(AND(O461="Yes",SUMIF($A$5:$A$1004,A461,$L$5:$L$1004)+SUMIF($A$5:$A$1004,A461,$P$5:$P$1004)&gt;100000),"B2CL","B2CS")))</f>
        <v/>
      </c>
      <c r="V461" s="17" t="str">
        <f aca="false">IF(A461="","",TEXT(B461,"mmm-yyyy"))</f>
        <v/>
      </c>
    </row>
    <row r="462" customFormat="false" ht="15" hidden="false" customHeight="true" outlineLevel="0" collapsed="false">
      <c r="A462" s="24"/>
      <c r="B462" s="39"/>
      <c r="C462" s="24"/>
      <c r="D462" s="24"/>
      <c r="E462" s="40"/>
      <c r="F462" s="29"/>
      <c r="G462" s="30"/>
      <c r="H462" s="17" t="str">
        <f aca="false">IF(A462="","",A462&amp;"|"&amp;COUNTIF(A$5:A462,A462))</f>
        <v/>
      </c>
      <c r="I462" s="33" t="str">
        <f aca="false">IF(A462="","",IFERROR(INDEX(Items!$B$5:$B$304,MATCH(D462,Items!$A$5:$A$304,0))&amp;"",""))</f>
        <v/>
      </c>
      <c r="J462" s="34" t="str">
        <f aca="false">IF(A462="","",IFERROR(INDEX(Items!$C$5:$C$304,MATCH(D462,Items!$A$5:$A$304,0))&amp;"",""))</f>
        <v/>
      </c>
      <c r="K462" s="35" t="n">
        <f aca="false">IF(A462="",0,IF(ISNUMBER(F462),F462,IFERROR(INDEX(Items!$D$5:$D$304,MATCH(D462,Items!$A$5:$A$304,0)),0)))</f>
        <v>0</v>
      </c>
      <c r="L462" s="35" t="n">
        <f aca="false">ROUND(N(E462)*K462*(1-N(G462)),2)</f>
        <v>0</v>
      </c>
      <c r="M462" s="36" t="n">
        <f aca="false">IF(A462="",0,IFERROR(INDEX(Items!$E$5:$E$304,MATCH(D462,Items!$A$5:$A$304,0)),0))</f>
        <v>0</v>
      </c>
      <c r="N462" s="37" t="str">
        <f aca="false">IF(A462="","",IFERROR(INDEX(Customers!$E$5:$E$204,MATCH(C462,Customers!$A$5:$A$204,0)),"?"))</f>
        <v/>
      </c>
      <c r="O462" s="38" t="str">
        <f aca="false">IF(A462="","",IF(N462=Settings!$B$17,"No","Yes"))</f>
        <v/>
      </c>
      <c r="P462" s="35" t="n">
        <f aca="false">IF(O462="Yes",ROUND(L462*M462,2),0)</f>
        <v>0</v>
      </c>
      <c r="Q462" s="35" t="n">
        <f aca="false">IF(O462="No",ROUND(L462*M462/2,2),0)</f>
        <v>0</v>
      </c>
      <c r="R462" s="35" t="n">
        <f aca="false">Q462</f>
        <v>0</v>
      </c>
      <c r="S462" s="35" t="n">
        <f aca="false">L462+P462+Q462+R462</f>
        <v>0</v>
      </c>
      <c r="T462" s="34" t="str">
        <f aca="false">IF(A462="","",IFERROR(INDEX(Customers!$B$5:$B$204,MATCH(C462,Customers!$A$5:$A$204,0))&amp;"",""))</f>
        <v/>
      </c>
      <c r="U462" s="38" t="str">
        <f aca="false">IF(A462="","",IF(T462&lt;&gt;"","B2B",IF(AND(O462="Yes",SUMIF($A$5:$A$1004,A462,$L$5:$L$1004)+SUMIF($A$5:$A$1004,A462,$P$5:$P$1004)&gt;100000),"B2CL","B2CS")))</f>
        <v/>
      </c>
      <c r="V462" s="17" t="str">
        <f aca="false">IF(A462="","",TEXT(B462,"mmm-yyyy"))</f>
        <v/>
      </c>
    </row>
    <row r="463" customFormat="false" ht="15" hidden="false" customHeight="true" outlineLevel="0" collapsed="false">
      <c r="A463" s="24"/>
      <c r="B463" s="39"/>
      <c r="C463" s="24"/>
      <c r="D463" s="24"/>
      <c r="E463" s="40"/>
      <c r="F463" s="29"/>
      <c r="G463" s="30"/>
      <c r="H463" s="17" t="str">
        <f aca="false">IF(A463="","",A463&amp;"|"&amp;COUNTIF(A$5:A463,A463))</f>
        <v/>
      </c>
      <c r="I463" s="33" t="str">
        <f aca="false">IF(A463="","",IFERROR(INDEX(Items!$B$5:$B$304,MATCH(D463,Items!$A$5:$A$304,0))&amp;"",""))</f>
        <v/>
      </c>
      <c r="J463" s="34" t="str">
        <f aca="false">IF(A463="","",IFERROR(INDEX(Items!$C$5:$C$304,MATCH(D463,Items!$A$5:$A$304,0))&amp;"",""))</f>
        <v/>
      </c>
      <c r="K463" s="35" t="n">
        <f aca="false">IF(A463="",0,IF(ISNUMBER(F463),F463,IFERROR(INDEX(Items!$D$5:$D$304,MATCH(D463,Items!$A$5:$A$304,0)),0)))</f>
        <v>0</v>
      </c>
      <c r="L463" s="35" t="n">
        <f aca="false">ROUND(N(E463)*K463*(1-N(G463)),2)</f>
        <v>0</v>
      </c>
      <c r="M463" s="36" t="n">
        <f aca="false">IF(A463="",0,IFERROR(INDEX(Items!$E$5:$E$304,MATCH(D463,Items!$A$5:$A$304,0)),0))</f>
        <v>0</v>
      </c>
      <c r="N463" s="37" t="str">
        <f aca="false">IF(A463="","",IFERROR(INDEX(Customers!$E$5:$E$204,MATCH(C463,Customers!$A$5:$A$204,0)),"?"))</f>
        <v/>
      </c>
      <c r="O463" s="38" t="str">
        <f aca="false">IF(A463="","",IF(N463=Settings!$B$17,"No","Yes"))</f>
        <v/>
      </c>
      <c r="P463" s="35" t="n">
        <f aca="false">IF(O463="Yes",ROUND(L463*M463,2),0)</f>
        <v>0</v>
      </c>
      <c r="Q463" s="35" t="n">
        <f aca="false">IF(O463="No",ROUND(L463*M463/2,2),0)</f>
        <v>0</v>
      </c>
      <c r="R463" s="35" t="n">
        <f aca="false">Q463</f>
        <v>0</v>
      </c>
      <c r="S463" s="35" t="n">
        <f aca="false">L463+P463+Q463+R463</f>
        <v>0</v>
      </c>
      <c r="T463" s="34" t="str">
        <f aca="false">IF(A463="","",IFERROR(INDEX(Customers!$B$5:$B$204,MATCH(C463,Customers!$A$5:$A$204,0))&amp;"",""))</f>
        <v/>
      </c>
      <c r="U463" s="38" t="str">
        <f aca="false">IF(A463="","",IF(T463&lt;&gt;"","B2B",IF(AND(O463="Yes",SUMIF($A$5:$A$1004,A463,$L$5:$L$1004)+SUMIF($A$5:$A$1004,A463,$P$5:$P$1004)&gt;100000),"B2CL","B2CS")))</f>
        <v/>
      </c>
      <c r="V463" s="17" t="str">
        <f aca="false">IF(A463="","",TEXT(B463,"mmm-yyyy"))</f>
        <v/>
      </c>
    </row>
    <row r="464" customFormat="false" ht="15" hidden="false" customHeight="true" outlineLevel="0" collapsed="false">
      <c r="A464" s="24"/>
      <c r="B464" s="39"/>
      <c r="C464" s="24"/>
      <c r="D464" s="24"/>
      <c r="E464" s="40"/>
      <c r="F464" s="29"/>
      <c r="G464" s="30"/>
      <c r="H464" s="17" t="str">
        <f aca="false">IF(A464="","",A464&amp;"|"&amp;COUNTIF(A$5:A464,A464))</f>
        <v/>
      </c>
      <c r="I464" s="33" t="str">
        <f aca="false">IF(A464="","",IFERROR(INDEX(Items!$B$5:$B$304,MATCH(D464,Items!$A$5:$A$304,0))&amp;"",""))</f>
        <v/>
      </c>
      <c r="J464" s="34" t="str">
        <f aca="false">IF(A464="","",IFERROR(INDEX(Items!$C$5:$C$304,MATCH(D464,Items!$A$5:$A$304,0))&amp;"",""))</f>
        <v/>
      </c>
      <c r="K464" s="35" t="n">
        <f aca="false">IF(A464="",0,IF(ISNUMBER(F464),F464,IFERROR(INDEX(Items!$D$5:$D$304,MATCH(D464,Items!$A$5:$A$304,0)),0)))</f>
        <v>0</v>
      </c>
      <c r="L464" s="35" t="n">
        <f aca="false">ROUND(N(E464)*K464*(1-N(G464)),2)</f>
        <v>0</v>
      </c>
      <c r="M464" s="36" t="n">
        <f aca="false">IF(A464="",0,IFERROR(INDEX(Items!$E$5:$E$304,MATCH(D464,Items!$A$5:$A$304,0)),0))</f>
        <v>0</v>
      </c>
      <c r="N464" s="37" t="str">
        <f aca="false">IF(A464="","",IFERROR(INDEX(Customers!$E$5:$E$204,MATCH(C464,Customers!$A$5:$A$204,0)),"?"))</f>
        <v/>
      </c>
      <c r="O464" s="38" t="str">
        <f aca="false">IF(A464="","",IF(N464=Settings!$B$17,"No","Yes"))</f>
        <v/>
      </c>
      <c r="P464" s="35" t="n">
        <f aca="false">IF(O464="Yes",ROUND(L464*M464,2),0)</f>
        <v>0</v>
      </c>
      <c r="Q464" s="35" t="n">
        <f aca="false">IF(O464="No",ROUND(L464*M464/2,2),0)</f>
        <v>0</v>
      </c>
      <c r="R464" s="35" t="n">
        <f aca="false">Q464</f>
        <v>0</v>
      </c>
      <c r="S464" s="35" t="n">
        <f aca="false">L464+P464+Q464+R464</f>
        <v>0</v>
      </c>
      <c r="T464" s="34" t="str">
        <f aca="false">IF(A464="","",IFERROR(INDEX(Customers!$B$5:$B$204,MATCH(C464,Customers!$A$5:$A$204,0))&amp;"",""))</f>
        <v/>
      </c>
      <c r="U464" s="38" t="str">
        <f aca="false">IF(A464="","",IF(T464&lt;&gt;"","B2B",IF(AND(O464="Yes",SUMIF($A$5:$A$1004,A464,$L$5:$L$1004)+SUMIF($A$5:$A$1004,A464,$P$5:$P$1004)&gt;100000),"B2CL","B2CS")))</f>
        <v/>
      </c>
      <c r="V464" s="17" t="str">
        <f aca="false">IF(A464="","",TEXT(B464,"mmm-yyyy"))</f>
        <v/>
      </c>
    </row>
    <row r="465" customFormat="false" ht="15" hidden="false" customHeight="true" outlineLevel="0" collapsed="false">
      <c r="A465" s="24"/>
      <c r="B465" s="39"/>
      <c r="C465" s="24"/>
      <c r="D465" s="24"/>
      <c r="E465" s="40"/>
      <c r="F465" s="29"/>
      <c r="G465" s="30"/>
      <c r="H465" s="17" t="str">
        <f aca="false">IF(A465="","",A465&amp;"|"&amp;COUNTIF(A$5:A465,A465))</f>
        <v/>
      </c>
      <c r="I465" s="33" t="str">
        <f aca="false">IF(A465="","",IFERROR(INDEX(Items!$B$5:$B$304,MATCH(D465,Items!$A$5:$A$304,0))&amp;"",""))</f>
        <v/>
      </c>
      <c r="J465" s="34" t="str">
        <f aca="false">IF(A465="","",IFERROR(INDEX(Items!$C$5:$C$304,MATCH(D465,Items!$A$5:$A$304,0))&amp;"",""))</f>
        <v/>
      </c>
      <c r="K465" s="35" t="n">
        <f aca="false">IF(A465="",0,IF(ISNUMBER(F465),F465,IFERROR(INDEX(Items!$D$5:$D$304,MATCH(D465,Items!$A$5:$A$304,0)),0)))</f>
        <v>0</v>
      </c>
      <c r="L465" s="35" t="n">
        <f aca="false">ROUND(N(E465)*K465*(1-N(G465)),2)</f>
        <v>0</v>
      </c>
      <c r="M465" s="36" t="n">
        <f aca="false">IF(A465="",0,IFERROR(INDEX(Items!$E$5:$E$304,MATCH(D465,Items!$A$5:$A$304,0)),0))</f>
        <v>0</v>
      </c>
      <c r="N465" s="37" t="str">
        <f aca="false">IF(A465="","",IFERROR(INDEX(Customers!$E$5:$E$204,MATCH(C465,Customers!$A$5:$A$204,0)),"?"))</f>
        <v/>
      </c>
      <c r="O465" s="38" t="str">
        <f aca="false">IF(A465="","",IF(N465=Settings!$B$17,"No","Yes"))</f>
        <v/>
      </c>
      <c r="P465" s="35" t="n">
        <f aca="false">IF(O465="Yes",ROUND(L465*M465,2),0)</f>
        <v>0</v>
      </c>
      <c r="Q465" s="35" t="n">
        <f aca="false">IF(O465="No",ROUND(L465*M465/2,2),0)</f>
        <v>0</v>
      </c>
      <c r="R465" s="35" t="n">
        <f aca="false">Q465</f>
        <v>0</v>
      </c>
      <c r="S465" s="35" t="n">
        <f aca="false">L465+P465+Q465+R465</f>
        <v>0</v>
      </c>
      <c r="T465" s="34" t="str">
        <f aca="false">IF(A465="","",IFERROR(INDEX(Customers!$B$5:$B$204,MATCH(C465,Customers!$A$5:$A$204,0))&amp;"",""))</f>
        <v/>
      </c>
      <c r="U465" s="38" t="str">
        <f aca="false">IF(A465="","",IF(T465&lt;&gt;"","B2B",IF(AND(O465="Yes",SUMIF($A$5:$A$1004,A465,$L$5:$L$1004)+SUMIF($A$5:$A$1004,A465,$P$5:$P$1004)&gt;100000),"B2CL","B2CS")))</f>
        <v/>
      </c>
      <c r="V465" s="17" t="str">
        <f aca="false">IF(A465="","",TEXT(B465,"mmm-yyyy"))</f>
        <v/>
      </c>
    </row>
    <row r="466" customFormat="false" ht="15" hidden="false" customHeight="true" outlineLevel="0" collapsed="false">
      <c r="A466" s="24"/>
      <c r="B466" s="39"/>
      <c r="C466" s="24"/>
      <c r="D466" s="24"/>
      <c r="E466" s="40"/>
      <c r="F466" s="29"/>
      <c r="G466" s="30"/>
      <c r="H466" s="17" t="str">
        <f aca="false">IF(A466="","",A466&amp;"|"&amp;COUNTIF(A$5:A466,A466))</f>
        <v/>
      </c>
      <c r="I466" s="33" t="str">
        <f aca="false">IF(A466="","",IFERROR(INDEX(Items!$B$5:$B$304,MATCH(D466,Items!$A$5:$A$304,0))&amp;"",""))</f>
        <v/>
      </c>
      <c r="J466" s="34" t="str">
        <f aca="false">IF(A466="","",IFERROR(INDEX(Items!$C$5:$C$304,MATCH(D466,Items!$A$5:$A$304,0))&amp;"",""))</f>
        <v/>
      </c>
      <c r="K466" s="35" t="n">
        <f aca="false">IF(A466="",0,IF(ISNUMBER(F466),F466,IFERROR(INDEX(Items!$D$5:$D$304,MATCH(D466,Items!$A$5:$A$304,0)),0)))</f>
        <v>0</v>
      </c>
      <c r="L466" s="35" t="n">
        <f aca="false">ROUND(N(E466)*K466*(1-N(G466)),2)</f>
        <v>0</v>
      </c>
      <c r="M466" s="36" t="n">
        <f aca="false">IF(A466="",0,IFERROR(INDEX(Items!$E$5:$E$304,MATCH(D466,Items!$A$5:$A$304,0)),0))</f>
        <v>0</v>
      </c>
      <c r="N466" s="37" t="str">
        <f aca="false">IF(A466="","",IFERROR(INDEX(Customers!$E$5:$E$204,MATCH(C466,Customers!$A$5:$A$204,0)),"?"))</f>
        <v/>
      </c>
      <c r="O466" s="38" t="str">
        <f aca="false">IF(A466="","",IF(N466=Settings!$B$17,"No","Yes"))</f>
        <v/>
      </c>
      <c r="P466" s="35" t="n">
        <f aca="false">IF(O466="Yes",ROUND(L466*M466,2),0)</f>
        <v>0</v>
      </c>
      <c r="Q466" s="35" t="n">
        <f aca="false">IF(O466="No",ROUND(L466*M466/2,2),0)</f>
        <v>0</v>
      </c>
      <c r="R466" s="35" t="n">
        <f aca="false">Q466</f>
        <v>0</v>
      </c>
      <c r="S466" s="35" t="n">
        <f aca="false">L466+P466+Q466+R466</f>
        <v>0</v>
      </c>
      <c r="T466" s="34" t="str">
        <f aca="false">IF(A466="","",IFERROR(INDEX(Customers!$B$5:$B$204,MATCH(C466,Customers!$A$5:$A$204,0))&amp;"",""))</f>
        <v/>
      </c>
      <c r="U466" s="38" t="str">
        <f aca="false">IF(A466="","",IF(T466&lt;&gt;"","B2B",IF(AND(O466="Yes",SUMIF($A$5:$A$1004,A466,$L$5:$L$1004)+SUMIF($A$5:$A$1004,A466,$P$5:$P$1004)&gt;100000),"B2CL","B2CS")))</f>
        <v/>
      </c>
      <c r="V466" s="17" t="str">
        <f aca="false">IF(A466="","",TEXT(B466,"mmm-yyyy"))</f>
        <v/>
      </c>
    </row>
    <row r="467" customFormat="false" ht="15" hidden="false" customHeight="true" outlineLevel="0" collapsed="false">
      <c r="A467" s="24"/>
      <c r="B467" s="39"/>
      <c r="C467" s="24"/>
      <c r="D467" s="24"/>
      <c r="E467" s="40"/>
      <c r="F467" s="29"/>
      <c r="G467" s="30"/>
      <c r="H467" s="17" t="str">
        <f aca="false">IF(A467="","",A467&amp;"|"&amp;COUNTIF(A$5:A467,A467))</f>
        <v/>
      </c>
      <c r="I467" s="33" t="str">
        <f aca="false">IF(A467="","",IFERROR(INDEX(Items!$B$5:$B$304,MATCH(D467,Items!$A$5:$A$304,0))&amp;"",""))</f>
        <v/>
      </c>
      <c r="J467" s="34" t="str">
        <f aca="false">IF(A467="","",IFERROR(INDEX(Items!$C$5:$C$304,MATCH(D467,Items!$A$5:$A$304,0))&amp;"",""))</f>
        <v/>
      </c>
      <c r="K467" s="35" t="n">
        <f aca="false">IF(A467="",0,IF(ISNUMBER(F467),F467,IFERROR(INDEX(Items!$D$5:$D$304,MATCH(D467,Items!$A$5:$A$304,0)),0)))</f>
        <v>0</v>
      </c>
      <c r="L467" s="35" t="n">
        <f aca="false">ROUND(N(E467)*K467*(1-N(G467)),2)</f>
        <v>0</v>
      </c>
      <c r="M467" s="36" t="n">
        <f aca="false">IF(A467="",0,IFERROR(INDEX(Items!$E$5:$E$304,MATCH(D467,Items!$A$5:$A$304,0)),0))</f>
        <v>0</v>
      </c>
      <c r="N467" s="37" t="str">
        <f aca="false">IF(A467="","",IFERROR(INDEX(Customers!$E$5:$E$204,MATCH(C467,Customers!$A$5:$A$204,0)),"?"))</f>
        <v/>
      </c>
      <c r="O467" s="38" t="str">
        <f aca="false">IF(A467="","",IF(N467=Settings!$B$17,"No","Yes"))</f>
        <v/>
      </c>
      <c r="P467" s="35" t="n">
        <f aca="false">IF(O467="Yes",ROUND(L467*M467,2),0)</f>
        <v>0</v>
      </c>
      <c r="Q467" s="35" t="n">
        <f aca="false">IF(O467="No",ROUND(L467*M467/2,2),0)</f>
        <v>0</v>
      </c>
      <c r="R467" s="35" t="n">
        <f aca="false">Q467</f>
        <v>0</v>
      </c>
      <c r="S467" s="35" t="n">
        <f aca="false">L467+P467+Q467+R467</f>
        <v>0</v>
      </c>
      <c r="T467" s="34" t="str">
        <f aca="false">IF(A467="","",IFERROR(INDEX(Customers!$B$5:$B$204,MATCH(C467,Customers!$A$5:$A$204,0))&amp;"",""))</f>
        <v/>
      </c>
      <c r="U467" s="38" t="str">
        <f aca="false">IF(A467="","",IF(T467&lt;&gt;"","B2B",IF(AND(O467="Yes",SUMIF($A$5:$A$1004,A467,$L$5:$L$1004)+SUMIF($A$5:$A$1004,A467,$P$5:$P$1004)&gt;100000),"B2CL","B2CS")))</f>
        <v/>
      </c>
      <c r="V467" s="17" t="str">
        <f aca="false">IF(A467="","",TEXT(B467,"mmm-yyyy"))</f>
        <v/>
      </c>
    </row>
    <row r="468" customFormat="false" ht="15" hidden="false" customHeight="true" outlineLevel="0" collapsed="false">
      <c r="A468" s="24"/>
      <c r="B468" s="39"/>
      <c r="C468" s="24"/>
      <c r="D468" s="24"/>
      <c r="E468" s="40"/>
      <c r="F468" s="29"/>
      <c r="G468" s="30"/>
      <c r="H468" s="17" t="str">
        <f aca="false">IF(A468="","",A468&amp;"|"&amp;COUNTIF(A$5:A468,A468))</f>
        <v/>
      </c>
      <c r="I468" s="33" t="str">
        <f aca="false">IF(A468="","",IFERROR(INDEX(Items!$B$5:$B$304,MATCH(D468,Items!$A$5:$A$304,0))&amp;"",""))</f>
        <v/>
      </c>
      <c r="J468" s="34" t="str">
        <f aca="false">IF(A468="","",IFERROR(INDEX(Items!$C$5:$C$304,MATCH(D468,Items!$A$5:$A$304,0))&amp;"",""))</f>
        <v/>
      </c>
      <c r="K468" s="35" t="n">
        <f aca="false">IF(A468="",0,IF(ISNUMBER(F468),F468,IFERROR(INDEX(Items!$D$5:$D$304,MATCH(D468,Items!$A$5:$A$304,0)),0)))</f>
        <v>0</v>
      </c>
      <c r="L468" s="35" t="n">
        <f aca="false">ROUND(N(E468)*K468*(1-N(G468)),2)</f>
        <v>0</v>
      </c>
      <c r="M468" s="36" t="n">
        <f aca="false">IF(A468="",0,IFERROR(INDEX(Items!$E$5:$E$304,MATCH(D468,Items!$A$5:$A$304,0)),0))</f>
        <v>0</v>
      </c>
      <c r="N468" s="37" t="str">
        <f aca="false">IF(A468="","",IFERROR(INDEX(Customers!$E$5:$E$204,MATCH(C468,Customers!$A$5:$A$204,0)),"?"))</f>
        <v/>
      </c>
      <c r="O468" s="38" t="str">
        <f aca="false">IF(A468="","",IF(N468=Settings!$B$17,"No","Yes"))</f>
        <v/>
      </c>
      <c r="P468" s="35" t="n">
        <f aca="false">IF(O468="Yes",ROUND(L468*M468,2),0)</f>
        <v>0</v>
      </c>
      <c r="Q468" s="35" t="n">
        <f aca="false">IF(O468="No",ROUND(L468*M468/2,2),0)</f>
        <v>0</v>
      </c>
      <c r="R468" s="35" t="n">
        <f aca="false">Q468</f>
        <v>0</v>
      </c>
      <c r="S468" s="35" t="n">
        <f aca="false">L468+P468+Q468+R468</f>
        <v>0</v>
      </c>
      <c r="T468" s="34" t="str">
        <f aca="false">IF(A468="","",IFERROR(INDEX(Customers!$B$5:$B$204,MATCH(C468,Customers!$A$5:$A$204,0))&amp;"",""))</f>
        <v/>
      </c>
      <c r="U468" s="38" t="str">
        <f aca="false">IF(A468="","",IF(T468&lt;&gt;"","B2B",IF(AND(O468="Yes",SUMIF($A$5:$A$1004,A468,$L$5:$L$1004)+SUMIF($A$5:$A$1004,A468,$P$5:$P$1004)&gt;100000),"B2CL","B2CS")))</f>
        <v/>
      </c>
      <c r="V468" s="17" t="str">
        <f aca="false">IF(A468="","",TEXT(B468,"mmm-yyyy"))</f>
        <v/>
      </c>
    </row>
    <row r="469" customFormat="false" ht="15" hidden="false" customHeight="true" outlineLevel="0" collapsed="false">
      <c r="A469" s="24"/>
      <c r="B469" s="39"/>
      <c r="C469" s="24"/>
      <c r="D469" s="24"/>
      <c r="E469" s="40"/>
      <c r="F469" s="29"/>
      <c r="G469" s="30"/>
      <c r="H469" s="17" t="str">
        <f aca="false">IF(A469="","",A469&amp;"|"&amp;COUNTIF(A$5:A469,A469))</f>
        <v/>
      </c>
      <c r="I469" s="33" t="str">
        <f aca="false">IF(A469="","",IFERROR(INDEX(Items!$B$5:$B$304,MATCH(D469,Items!$A$5:$A$304,0))&amp;"",""))</f>
        <v/>
      </c>
      <c r="J469" s="34" t="str">
        <f aca="false">IF(A469="","",IFERROR(INDEX(Items!$C$5:$C$304,MATCH(D469,Items!$A$5:$A$304,0))&amp;"",""))</f>
        <v/>
      </c>
      <c r="K469" s="35" t="n">
        <f aca="false">IF(A469="",0,IF(ISNUMBER(F469),F469,IFERROR(INDEX(Items!$D$5:$D$304,MATCH(D469,Items!$A$5:$A$304,0)),0)))</f>
        <v>0</v>
      </c>
      <c r="L469" s="35" t="n">
        <f aca="false">ROUND(N(E469)*K469*(1-N(G469)),2)</f>
        <v>0</v>
      </c>
      <c r="M469" s="36" t="n">
        <f aca="false">IF(A469="",0,IFERROR(INDEX(Items!$E$5:$E$304,MATCH(D469,Items!$A$5:$A$304,0)),0))</f>
        <v>0</v>
      </c>
      <c r="N469" s="37" t="str">
        <f aca="false">IF(A469="","",IFERROR(INDEX(Customers!$E$5:$E$204,MATCH(C469,Customers!$A$5:$A$204,0)),"?"))</f>
        <v/>
      </c>
      <c r="O469" s="38" t="str">
        <f aca="false">IF(A469="","",IF(N469=Settings!$B$17,"No","Yes"))</f>
        <v/>
      </c>
      <c r="P469" s="35" t="n">
        <f aca="false">IF(O469="Yes",ROUND(L469*M469,2),0)</f>
        <v>0</v>
      </c>
      <c r="Q469" s="35" t="n">
        <f aca="false">IF(O469="No",ROUND(L469*M469/2,2),0)</f>
        <v>0</v>
      </c>
      <c r="R469" s="35" t="n">
        <f aca="false">Q469</f>
        <v>0</v>
      </c>
      <c r="S469" s="35" t="n">
        <f aca="false">L469+P469+Q469+R469</f>
        <v>0</v>
      </c>
      <c r="T469" s="34" t="str">
        <f aca="false">IF(A469="","",IFERROR(INDEX(Customers!$B$5:$B$204,MATCH(C469,Customers!$A$5:$A$204,0))&amp;"",""))</f>
        <v/>
      </c>
      <c r="U469" s="38" t="str">
        <f aca="false">IF(A469="","",IF(T469&lt;&gt;"","B2B",IF(AND(O469="Yes",SUMIF($A$5:$A$1004,A469,$L$5:$L$1004)+SUMIF($A$5:$A$1004,A469,$P$5:$P$1004)&gt;100000),"B2CL","B2CS")))</f>
        <v/>
      </c>
      <c r="V469" s="17" t="str">
        <f aca="false">IF(A469="","",TEXT(B469,"mmm-yyyy"))</f>
        <v/>
      </c>
    </row>
    <row r="470" customFormat="false" ht="15" hidden="false" customHeight="true" outlineLevel="0" collapsed="false">
      <c r="A470" s="24"/>
      <c r="B470" s="39"/>
      <c r="C470" s="24"/>
      <c r="D470" s="24"/>
      <c r="E470" s="40"/>
      <c r="F470" s="29"/>
      <c r="G470" s="30"/>
      <c r="H470" s="17" t="str">
        <f aca="false">IF(A470="","",A470&amp;"|"&amp;COUNTIF(A$5:A470,A470))</f>
        <v/>
      </c>
      <c r="I470" s="33" t="str">
        <f aca="false">IF(A470="","",IFERROR(INDEX(Items!$B$5:$B$304,MATCH(D470,Items!$A$5:$A$304,0))&amp;"",""))</f>
        <v/>
      </c>
      <c r="J470" s="34" t="str">
        <f aca="false">IF(A470="","",IFERROR(INDEX(Items!$C$5:$C$304,MATCH(D470,Items!$A$5:$A$304,0))&amp;"",""))</f>
        <v/>
      </c>
      <c r="K470" s="35" t="n">
        <f aca="false">IF(A470="",0,IF(ISNUMBER(F470),F470,IFERROR(INDEX(Items!$D$5:$D$304,MATCH(D470,Items!$A$5:$A$304,0)),0)))</f>
        <v>0</v>
      </c>
      <c r="L470" s="35" t="n">
        <f aca="false">ROUND(N(E470)*K470*(1-N(G470)),2)</f>
        <v>0</v>
      </c>
      <c r="M470" s="36" t="n">
        <f aca="false">IF(A470="",0,IFERROR(INDEX(Items!$E$5:$E$304,MATCH(D470,Items!$A$5:$A$304,0)),0))</f>
        <v>0</v>
      </c>
      <c r="N470" s="37" t="str">
        <f aca="false">IF(A470="","",IFERROR(INDEX(Customers!$E$5:$E$204,MATCH(C470,Customers!$A$5:$A$204,0)),"?"))</f>
        <v/>
      </c>
      <c r="O470" s="38" t="str">
        <f aca="false">IF(A470="","",IF(N470=Settings!$B$17,"No","Yes"))</f>
        <v/>
      </c>
      <c r="P470" s="35" t="n">
        <f aca="false">IF(O470="Yes",ROUND(L470*M470,2),0)</f>
        <v>0</v>
      </c>
      <c r="Q470" s="35" t="n">
        <f aca="false">IF(O470="No",ROUND(L470*M470/2,2),0)</f>
        <v>0</v>
      </c>
      <c r="R470" s="35" t="n">
        <f aca="false">Q470</f>
        <v>0</v>
      </c>
      <c r="S470" s="35" t="n">
        <f aca="false">L470+P470+Q470+R470</f>
        <v>0</v>
      </c>
      <c r="T470" s="34" t="str">
        <f aca="false">IF(A470="","",IFERROR(INDEX(Customers!$B$5:$B$204,MATCH(C470,Customers!$A$5:$A$204,0))&amp;"",""))</f>
        <v/>
      </c>
      <c r="U470" s="38" t="str">
        <f aca="false">IF(A470="","",IF(T470&lt;&gt;"","B2B",IF(AND(O470="Yes",SUMIF($A$5:$A$1004,A470,$L$5:$L$1004)+SUMIF($A$5:$A$1004,A470,$P$5:$P$1004)&gt;100000),"B2CL","B2CS")))</f>
        <v/>
      </c>
      <c r="V470" s="17" t="str">
        <f aca="false">IF(A470="","",TEXT(B470,"mmm-yyyy"))</f>
        <v/>
      </c>
    </row>
    <row r="471" customFormat="false" ht="15" hidden="false" customHeight="true" outlineLevel="0" collapsed="false">
      <c r="A471" s="24"/>
      <c r="B471" s="39"/>
      <c r="C471" s="24"/>
      <c r="D471" s="24"/>
      <c r="E471" s="40"/>
      <c r="F471" s="29"/>
      <c r="G471" s="30"/>
      <c r="H471" s="17" t="str">
        <f aca="false">IF(A471="","",A471&amp;"|"&amp;COUNTIF(A$5:A471,A471))</f>
        <v/>
      </c>
      <c r="I471" s="33" t="str">
        <f aca="false">IF(A471="","",IFERROR(INDEX(Items!$B$5:$B$304,MATCH(D471,Items!$A$5:$A$304,0))&amp;"",""))</f>
        <v/>
      </c>
      <c r="J471" s="34" t="str">
        <f aca="false">IF(A471="","",IFERROR(INDEX(Items!$C$5:$C$304,MATCH(D471,Items!$A$5:$A$304,0))&amp;"",""))</f>
        <v/>
      </c>
      <c r="K471" s="35" t="n">
        <f aca="false">IF(A471="",0,IF(ISNUMBER(F471),F471,IFERROR(INDEX(Items!$D$5:$D$304,MATCH(D471,Items!$A$5:$A$304,0)),0)))</f>
        <v>0</v>
      </c>
      <c r="L471" s="35" t="n">
        <f aca="false">ROUND(N(E471)*K471*(1-N(G471)),2)</f>
        <v>0</v>
      </c>
      <c r="M471" s="36" t="n">
        <f aca="false">IF(A471="",0,IFERROR(INDEX(Items!$E$5:$E$304,MATCH(D471,Items!$A$5:$A$304,0)),0))</f>
        <v>0</v>
      </c>
      <c r="N471" s="37" t="str">
        <f aca="false">IF(A471="","",IFERROR(INDEX(Customers!$E$5:$E$204,MATCH(C471,Customers!$A$5:$A$204,0)),"?"))</f>
        <v/>
      </c>
      <c r="O471" s="38" t="str">
        <f aca="false">IF(A471="","",IF(N471=Settings!$B$17,"No","Yes"))</f>
        <v/>
      </c>
      <c r="P471" s="35" t="n">
        <f aca="false">IF(O471="Yes",ROUND(L471*M471,2),0)</f>
        <v>0</v>
      </c>
      <c r="Q471" s="35" t="n">
        <f aca="false">IF(O471="No",ROUND(L471*M471/2,2),0)</f>
        <v>0</v>
      </c>
      <c r="R471" s="35" t="n">
        <f aca="false">Q471</f>
        <v>0</v>
      </c>
      <c r="S471" s="35" t="n">
        <f aca="false">L471+P471+Q471+R471</f>
        <v>0</v>
      </c>
      <c r="T471" s="34" t="str">
        <f aca="false">IF(A471="","",IFERROR(INDEX(Customers!$B$5:$B$204,MATCH(C471,Customers!$A$5:$A$204,0))&amp;"",""))</f>
        <v/>
      </c>
      <c r="U471" s="38" t="str">
        <f aca="false">IF(A471="","",IF(T471&lt;&gt;"","B2B",IF(AND(O471="Yes",SUMIF($A$5:$A$1004,A471,$L$5:$L$1004)+SUMIF($A$5:$A$1004,A471,$P$5:$P$1004)&gt;100000),"B2CL","B2CS")))</f>
        <v/>
      </c>
      <c r="V471" s="17" t="str">
        <f aca="false">IF(A471="","",TEXT(B471,"mmm-yyyy"))</f>
        <v/>
      </c>
    </row>
    <row r="472" customFormat="false" ht="15" hidden="false" customHeight="true" outlineLevel="0" collapsed="false">
      <c r="A472" s="24"/>
      <c r="B472" s="39"/>
      <c r="C472" s="24"/>
      <c r="D472" s="24"/>
      <c r="E472" s="40"/>
      <c r="F472" s="29"/>
      <c r="G472" s="30"/>
      <c r="H472" s="17" t="str">
        <f aca="false">IF(A472="","",A472&amp;"|"&amp;COUNTIF(A$5:A472,A472))</f>
        <v/>
      </c>
      <c r="I472" s="33" t="str">
        <f aca="false">IF(A472="","",IFERROR(INDEX(Items!$B$5:$B$304,MATCH(D472,Items!$A$5:$A$304,0))&amp;"",""))</f>
        <v/>
      </c>
      <c r="J472" s="34" t="str">
        <f aca="false">IF(A472="","",IFERROR(INDEX(Items!$C$5:$C$304,MATCH(D472,Items!$A$5:$A$304,0))&amp;"",""))</f>
        <v/>
      </c>
      <c r="K472" s="35" t="n">
        <f aca="false">IF(A472="",0,IF(ISNUMBER(F472),F472,IFERROR(INDEX(Items!$D$5:$D$304,MATCH(D472,Items!$A$5:$A$304,0)),0)))</f>
        <v>0</v>
      </c>
      <c r="L472" s="35" t="n">
        <f aca="false">ROUND(N(E472)*K472*(1-N(G472)),2)</f>
        <v>0</v>
      </c>
      <c r="M472" s="36" t="n">
        <f aca="false">IF(A472="",0,IFERROR(INDEX(Items!$E$5:$E$304,MATCH(D472,Items!$A$5:$A$304,0)),0))</f>
        <v>0</v>
      </c>
      <c r="N472" s="37" t="str">
        <f aca="false">IF(A472="","",IFERROR(INDEX(Customers!$E$5:$E$204,MATCH(C472,Customers!$A$5:$A$204,0)),"?"))</f>
        <v/>
      </c>
      <c r="O472" s="38" t="str">
        <f aca="false">IF(A472="","",IF(N472=Settings!$B$17,"No","Yes"))</f>
        <v/>
      </c>
      <c r="P472" s="35" t="n">
        <f aca="false">IF(O472="Yes",ROUND(L472*M472,2),0)</f>
        <v>0</v>
      </c>
      <c r="Q472" s="35" t="n">
        <f aca="false">IF(O472="No",ROUND(L472*M472/2,2),0)</f>
        <v>0</v>
      </c>
      <c r="R472" s="35" t="n">
        <f aca="false">Q472</f>
        <v>0</v>
      </c>
      <c r="S472" s="35" t="n">
        <f aca="false">L472+P472+Q472+R472</f>
        <v>0</v>
      </c>
      <c r="T472" s="34" t="str">
        <f aca="false">IF(A472="","",IFERROR(INDEX(Customers!$B$5:$B$204,MATCH(C472,Customers!$A$5:$A$204,0))&amp;"",""))</f>
        <v/>
      </c>
      <c r="U472" s="38" t="str">
        <f aca="false">IF(A472="","",IF(T472&lt;&gt;"","B2B",IF(AND(O472="Yes",SUMIF($A$5:$A$1004,A472,$L$5:$L$1004)+SUMIF($A$5:$A$1004,A472,$P$5:$P$1004)&gt;100000),"B2CL","B2CS")))</f>
        <v/>
      </c>
      <c r="V472" s="17" t="str">
        <f aca="false">IF(A472="","",TEXT(B472,"mmm-yyyy"))</f>
        <v/>
      </c>
    </row>
    <row r="473" customFormat="false" ht="15" hidden="false" customHeight="true" outlineLevel="0" collapsed="false">
      <c r="A473" s="24"/>
      <c r="B473" s="39"/>
      <c r="C473" s="24"/>
      <c r="D473" s="24"/>
      <c r="E473" s="40"/>
      <c r="F473" s="29"/>
      <c r="G473" s="30"/>
      <c r="H473" s="17" t="str">
        <f aca="false">IF(A473="","",A473&amp;"|"&amp;COUNTIF(A$5:A473,A473))</f>
        <v/>
      </c>
      <c r="I473" s="33" t="str">
        <f aca="false">IF(A473="","",IFERROR(INDEX(Items!$B$5:$B$304,MATCH(D473,Items!$A$5:$A$304,0))&amp;"",""))</f>
        <v/>
      </c>
      <c r="J473" s="34" t="str">
        <f aca="false">IF(A473="","",IFERROR(INDEX(Items!$C$5:$C$304,MATCH(D473,Items!$A$5:$A$304,0))&amp;"",""))</f>
        <v/>
      </c>
      <c r="K473" s="35" t="n">
        <f aca="false">IF(A473="",0,IF(ISNUMBER(F473),F473,IFERROR(INDEX(Items!$D$5:$D$304,MATCH(D473,Items!$A$5:$A$304,0)),0)))</f>
        <v>0</v>
      </c>
      <c r="L473" s="35" t="n">
        <f aca="false">ROUND(N(E473)*K473*(1-N(G473)),2)</f>
        <v>0</v>
      </c>
      <c r="M473" s="36" t="n">
        <f aca="false">IF(A473="",0,IFERROR(INDEX(Items!$E$5:$E$304,MATCH(D473,Items!$A$5:$A$304,0)),0))</f>
        <v>0</v>
      </c>
      <c r="N473" s="37" t="str">
        <f aca="false">IF(A473="","",IFERROR(INDEX(Customers!$E$5:$E$204,MATCH(C473,Customers!$A$5:$A$204,0)),"?"))</f>
        <v/>
      </c>
      <c r="O473" s="38" t="str">
        <f aca="false">IF(A473="","",IF(N473=Settings!$B$17,"No","Yes"))</f>
        <v/>
      </c>
      <c r="P473" s="35" t="n">
        <f aca="false">IF(O473="Yes",ROUND(L473*M473,2),0)</f>
        <v>0</v>
      </c>
      <c r="Q473" s="35" t="n">
        <f aca="false">IF(O473="No",ROUND(L473*M473/2,2),0)</f>
        <v>0</v>
      </c>
      <c r="R473" s="35" t="n">
        <f aca="false">Q473</f>
        <v>0</v>
      </c>
      <c r="S473" s="35" t="n">
        <f aca="false">L473+P473+Q473+R473</f>
        <v>0</v>
      </c>
      <c r="T473" s="34" t="str">
        <f aca="false">IF(A473="","",IFERROR(INDEX(Customers!$B$5:$B$204,MATCH(C473,Customers!$A$5:$A$204,0))&amp;"",""))</f>
        <v/>
      </c>
      <c r="U473" s="38" t="str">
        <f aca="false">IF(A473="","",IF(T473&lt;&gt;"","B2B",IF(AND(O473="Yes",SUMIF($A$5:$A$1004,A473,$L$5:$L$1004)+SUMIF($A$5:$A$1004,A473,$P$5:$P$1004)&gt;100000),"B2CL","B2CS")))</f>
        <v/>
      </c>
      <c r="V473" s="17" t="str">
        <f aca="false">IF(A473="","",TEXT(B473,"mmm-yyyy"))</f>
        <v/>
      </c>
    </row>
    <row r="474" customFormat="false" ht="15" hidden="false" customHeight="true" outlineLevel="0" collapsed="false">
      <c r="A474" s="24"/>
      <c r="B474" s="39"/>
      <c r="C474" s="24"/>
      <c r="D474" s="24"/>
      <c r="E474" s="40"/>
      <c r="F474" s="29"/>
      <c r="G474" s="30"/>
      <c r="H474" s="17" t="str">
        <f aca="false">IF(A474="","",A474&amp;"|"&amp;COUNTIF(A$5:A474,A474))</f>
        <v/>
      </c>
      <c r="I474" s="33" t="str">
        <f aca="false">IF(A474="","",IFERROR(INDEX(Items!$B$5:$B$304,MATCH(D474,Items!$A$5:$A$304,0))&amp;"",""))</f>
        <v/>
      </c>
      <c r="J474" s="34" t="str">
        <f aca="false">IF(A474="","",IFERROR(INDEX(Items!$C$5:$C$304,MATCH(D474,Items!$A$5:$A$304,0))&amp;"",""))</f>
        <v/>
      </c>
      <c r="K474" s="35" t="n">
        <f aca="false">IF(A474="",0,IF(ISNUMBER(F474),F474,IFERROR(INDEX(Items!$D$5:$D$304,MATCH(D474,Items!$A$5:$A$304,0)),0)))</f>
        <v>0</v>
      </c>
      <c r="L474" s="35" t="n">
        <f aca="false">ROUND(N(E474)*K474*(1-N(G474)),2)</f>
        <v>0</v>
      </c>
      <c r="M474" s="36" t="n">
        <f aca="false">IF(A474="",0,IFERROR(INDEX(Items!$E$5:$E$304,MATCH(D474,Items!$A$5:$A$304,0)),0))</f>
        <v>0</v>
      </c>
      <c r="N474" s="37" t="str">
        <f aca="false">IF(A474="","",IFERROR(INDEX(Customers!$E$5:$E$204,MATCH(C474,Customers!$A$5:$A$204,0)),"?"))</f>
        <v/>
      </c>
      <c r="O474" s="38" t="str">
        <f aca="false">IF(A474="","",IF(N474=Settings!$B$17,"No","Yes"))</f>
        <v/>
      </c>
      <c r="P474" s="35" t="n">
        <f aca="false">IF(O474="Yes",ROUND(L474*M474,2),0)</f>
        <v>0</v>
      </c>
      <c r="Q474" s="35" t="n">
        <f aca="false">IF(O474="No",ROUND(L474*M474/2,2),0)</f>
        <v>0</v>
      </c>
      <c r="R474" s="35" t="n">
        <f aca="false">Q474</f>
        <v>0</v>
      </c>
      <c r="S474" s="35" t="n">
        <f aca="false">L474+P474+Q474+R474</f>
        <v>0</v>
      </c>
      <c r="T474" s="34" t="str">
        <f aca="false">IF(A474="","",IFERROR(INDEX(Customers!$B$5:$B$204,MATCH(C474,Customers!$A$5:$A$204,0))&amp;"",""))</f>
        <v/>
      </c>
      <c r="U474" s="38" t="str">
        <f aca="false">IF(A474="","",IF(T474&lt;&gt;"","B2B",IF(AND(O474="Yes",SUMIF($A$5:$A$1004,A474,$L$5:$L$1004)+SUMIF($A$5:$A$1004,A474,$P$5:$P$1004)&gt;100000),"B2CL","B2CS")))</f>
        <v/>
      </c>
      <c r="V474" s="17" t="str">
        <f aca="false">IF(A474="","",TEXT(B474,"mmm-yyyy"))</f>
        <v/>
      </c>
    </row>
    <row r="475" customFormat="false" ht="15" hidden="false" customHeight="true" outlineLevel="0" collapsed="false">
      <c r="A475" s="24"/>
      <c r="B475" s="39"/>
      <c r="C475" s="24"/>
      <c r="D475" s="24"/>
      <c r="E475" s="40"/>
      <c r="F475" s="29"/>
      <c r="G475" s="30"/>
      <c r="H475" s="17" t="str">
        <f aca="false">IF(A475="","",A475&amp;"|"&amp;COUNTIF(A$5:A475,A475))</f>
        <v/>
      </c>
      <c r="I475" s="33" t="str">
        <f aca="false">IF(A475="","",IFERROR(INDEX(Items!$B$5:$B$304,MATCH(D475,Items!$A$5:$A$304,0))&amp;"",""))</f>
        <v/>
      </c>
      <c r="J475" s="34" t="str">
        <f aca="false">IF(A475="","",IFERROR(INDEX(Items!$C$5:$C$304,MATCH(D475,Items!$A$5:$A$304,0))&amp;"",""))</f>
        <v/>
      </c>
      <c r="K475" s="35" t="n">
        <f aca="false">IF(A475="",0,IF(ISNUMBER(F475),F475,IFERROR(INDEX(Items!$D$5:$D$304,MATCH(D475,Items!$A$5:$A$304,0)),0)))</f>
        <v>0</v>
      </c>
      <c r="L475" s="35" t="n">
        <f aca="false">ROUND(N(E475)*K475*(1-N(G475)),2)</f>
        <v>0</v>
      </c>
      <c r="M475" s="36" t="n">
        <f aca="false">IF(A475="",0,IFERROR(INDEX(Items!$E$5:$E$304,MATCH(D475,Items!$A$5:$A$304,0)),0))</f>
        <v>0</v>
      </c>
      <c r="N475" s="37" t="str">
        <f aca="false">IF(A475="","",IFERROR(INDEX(Customers!$E$5:$E$204,MATCH(C475,Customers!$A$5:$A$204,0)),"?"))</f>
        <v/>
      </c>
      <c r="O475" s="38" t="str">
        <f aca="false">IF(A475="","",IF(N475=Settings!$B$17,"No","Yes"))</f>
        <v/>
      </c>
      <c r="P475" s="35" t="n">
        <f aca="false">IF(O475="Yes",ROUND(L475*M475,2),0)</f>
        <v>0</v>
      </c>
      <c r="Q475" s="35" t="n">
        <f aca="false">IF(O475="No",ROUND(L475*M475/2,2),0)</f>
        <v>0</v>
      </c>
      <c r="R475" s="35" t="n">
        <f aca="false">Q475</f>
        <v>0</v>
      </c>
      <c r="S475" s="35" t="n">
        <f aca="false">L475+P475+Q475+R475</f>
        <v>0</v>
      </c>
      <c r="T475" s="34" t="str">
        <f aca="false">IF(A475="","",IFERROR(INDEX(Customers!$B$5:$B$204,MATCH(C475,Customers!$A$5:$A$204,0))&amp;"",""))</f>
        <v/>
      </c>
      <c r="U475" s="38" t="str">
        <f aca="false">IF(A475="","",IF(T475&lt;&gt;"","B2B",IF(AND(O475="Yes",SUMIF($A$5:$A$1004,A475,$L$5:$L$1004)+SUMIF($A$5:$A$1004,A475,$P$5:$P$1004)&gt;100000),"B2CL","B2CS")))</f>
        <v/>
      </c>
      <c r="V475" s="17" t="str">
        <f aca="false">IF(A475="","",TEXT(B475,"mmm-yyyy"))</f>
        <v/>
      </c>
    </row>
    <row r="476" customFormat="false" ht="15" hidden="false" customHeight="true" outlineLevel="0" collapsed="false">
      <c r="A476" s="24"/>
      <c r="B476" s="39"/>
      <c r="C476" s="24"/>
      <c r="D476" s="24"/>
      <c r="E476" s="40"/>
      <c r="F476" s="29"/>
      <c r="G476" s="30"/>
      <c r="H476" s="17" t="str">
        <f aca="false">IF(A476="","",A476&amp;"|"&amp;COUNTIF(A$5:A476,A476))</f>
        <v/>
      </c>
      <c r="I476" s="33" t="str">
        <f aca="false">IF(A476="","",IFERROR(INDEX(Items!$B$5:$B$304,MATCH(D476,Items!$A$5:$A$304,0))&amp;"",""))</f>
        <v/>
      </c>
      <c r="J476" s="34" t="str">
        <f aca="false">IF(A476="","",IFERROR(INDEX(Items!$C$5:$C$304,MATCH(D476,Items!$A$5:$A$304,0))&amp;"",""))</f>
        <v/>
      </c>
      <c r="K476" s="35" t="n">
        <f aca="false">IF(A476="",0,IF(ISNUMBER(F476),F476,IFERROR(INDEX(Items!$D$5:$D$304,MATCH(D476,Items!$A$5:$A$304,0)),0)))</f>
        <v>0</v>
      </c>
      <c r="L476" s="35" t="n">
        <f aca="false">ROUND(N(E476)*K476*(1-N(G476)),2)</f>
        <v>0</v>
      </c>
      <c r="M476" s="36" t="n">
        <f aca="false">IF(A476="",0,IFERROR(INDEX(Items!$E$5:$E$304,MATCH(D476,Items!$A$5:$A$304,0)),0))</f>
        <v>0</v>
      </c>
      <c r="N476" s="37" t="str">
        <f aca="false">IF(A476="","",IFERROR(INDEX(Customers!$E$5:$E$204,MATCH(C476,Customers!$A$5:$A$204,0)),"?"))</f>
        <v/>
      </c>
      <c r="O476" s="38" t="str">
        <f aca="false">IF(A476="","",IF(N476=Settings!$B$17,"No","Yes"))</f>
        <v/>
      </c>
      <c r="P476" s="35" t="n">
        <f aca="false">IF(O476="Yes",ROUND(L476*M476,2),0)</f>
        <v>0</v>
      </c>
      <c r="Q476" s="35" t="n">
        <f aca="false">IF(O476="No",ROUND(L476*M476/2,2),0)</f>
        <v>0</v>
      </c>
      <c r="R476" s="35" t="n">
        <f aca="false">Q476</f>
        <v>0</v>
      </c>
      <c r="S476" s="35" t="n">
        <f aca="false">L476+P476+Q476+R476</f>
        <v>0</v>
      </c>
      <c r="T476" s="34" t="str">
        <f aca="false">IF(A476="","",IFERROR(INDEX(Customers!$B$5:$B$204,MATCH(C476,Customers!$A$5:$A$204,0))&amp;"",""))</f>
        <v/>
      </c>
      <c r="U476" s="38" t="str">
        <f aca="false">IF(A476="","",IF(T476&lt;&gt;"","B2B",IF(AND(O476="Yes",SUMIF($A$5:$A$1004,A476,$L$5:$L$1004)+SUMIF($A$5:$A$1004,A476,$P$5:$P$1004)&gt;100000),"B2CL","B2CS")))</f>
        <v/>
      </c>
      <c r="V476" s="17" t="str">
        <f aca="false">IF(A476="","",TEXT(B476,"mmm-yyyy"))</f>
        <v/>
      </c>
    </row>
    <row r="477" customFormat="false" ht="15" hidden="false" customHeight="true" outlineLevel="0" collapsed="false">
      <c r="A477" s="24"/>
      <c r="B477" s="39"/>
      <c r="C477" s="24"/>
      <c r="D477" s="24"/>
      <c r="E477" s="40"/>
      <c r="F477" s="29"/>
      <c r="G477" s="30"/>
      <c r="H477" s="17" t="str">
        <f aca="false">IF(A477="","",A477&amp;"|"&amp;COUNTIF(A$5:A477,A477))</f>
        <v/>
      </c>
      <c r="I477" s="33" t="str">
        <f aca="false">IF(A477="","",IFERROR(INDEX(Items!$B$5:$B$304,MATCH(D477,Items!$A$5:$A$304,0))&amp;"",""))</f>
        <v/>
      </c>
      <c r="J477" s="34" t="str">
        <f aca="false">IF(A477="","",IFERROR(INDEX(Items!$C$5:$C$304,MATCH(D477,Items!$A$5:$A$304,0))&amp;"",""))</f>
        <v/>
      </c>
      <c r="K477" s="35" t="n">
        <f aca="false">IF(A477="",0,IF(ISNUMBER(F477),F477,IFERROR(INDEX(Items!$D$5:$D$304,MATCH(D477,Items!$A$5:$A$304,0)),0)))</f>
        <v>0</v>
      </c>
      <c r="L477" s="35" t="n">
        <f aca="false">ROUND(N(E477)*K477*(1-N(G477)),2)</f>
        <v>0</v>
      </c>
      <c r="M477" s="36" t="n">
        <f aca="false">IF(A477="",0,IFERROR(INDEX(Items!$E$5:$E$304,MATCH(D477,Items!$A$5:$A$304,0)),0))</f>
        <v>0</v>
      </c>
      <c r="N477" s="37" t="str">
        <f aca="false">IF(A477="","",IFERROR(INDEX(Customers!$E$5:$E$204,MATCH(C477,Customers!$A$5:$A$204,0)),"?"))</f>
        <v/>
      </c>
      <c r="O477" s="38" t="str">
        <f aca="false">IF(A477="","",IF(N477=Settings!$B$17,"No","Yes"))</f>
        <v/>
      </c>
      <c r="P477" s="35" t="n">
        <f aca="false">IF(O477="Yes",ROUND(L477*M477,2),0)</f>
        <v>0</v>
      </c>
      <c r="Q477" s="35" t="n">
        <f aca="false">IF(O477="No",ROUND(L477*M477/2,2),0)</f>
        <v>0</v>
      </c>
      <c r="R477" s="35" t="n">
        <f aca="false">Q477</f>
        <v>0</v>
      </c>
      <c r="S477" s="35" t="n">
        <f aca="false">L477+P477+Q477+R477</f>
        <v>0</v>
      </c>
      <c r="T477" s="34" t="str">
        <f aca="false">IF(A477="","",IFERROR(INDEX(Customers!$B$5:$B$204,MATCH(C477,Customers!$A$5:$A$204,0))&amp;"",""))</f>
        <v/>
      </c>
      <c r="U477" s="38" t="str">
        <f aca="false">IF(A477="","",IF(T477&lt;&gt;"","B2B",IF(AND(O477="Yes",SUMIF($A$5:$A$1004,A477,$L$5:$L$1004)+SUMIF($A$5:$A$1004,A477,$P$5:$P$1004)&gt;100000),"B2CL","B2CS")))</f>
        <v/>
      </c>
      <c r="V477" s="17" t="str">
        <f aca="false">IF(A477="","",TEXT(B477,"mmm-yyyy"))</f>
        <v/>
      </c>
    </row>
    <row r="478" customFormat="false" ht="15" hidden="false" customHeight="true" outlineLevel="0" collapsed="false">
      <c r="A478" s="24"/>
      <c r="B478" s="39"/>
      <c r="C478" s="24"/>
      <c r="D478" s="24"/>
      <c r="E478" s="40"/>
      <c r="F478" s="29"/>
      <c r="G478" s="30"/>
      <c r="H478" s="17" t="str">
        <f aca="false">IF(A478="","",A478&amp;"|"&amp;COUNTIF(A$5:A478,A478))</f>
        <v/>
      </c>
      <c r="I478" s="33" t="str">
        <f aca="false">IF(A478="","",IFERROR(INDEX(Items!$B$5:$B$304,MATCH(D478,Items!$A$5:$A$304,0))&amp;"",""))</f>
        <v/>
      </c>
      <c r="J478" s="34" t="str">
        <f aca="false">IF(A478="","",IFERROR(INDEX(Items!$C$5:$C$304,MATCH(D478,Items!$A$5:$A$304,0))&amp;"",""))</f>
        <v/>
      </c>
      <c r="K478" s="35" t="n">
        <f aca="false">IF(A478="",0,IF(ISNUMBER(F478),F478,IFERROR(INDEX(Items!$D$5:$D$304,MATCH(D478,Items!$A$5:$A$304,0)),0)))</f>
        <v>0</v>
      </c>
      <c r="L478" s="35" t="n">
        <f aca="false">ROUND(N(E478)*K478*(1-N(G478)),2)</f>
        <v>0</v>
      </c>
      <c r="M478" s="36" t="n">
        <f aca="false">IF(A478="",0,IFERROR(INDEX(Items!$E$5:$E$304,MATCH(D478,Items!$A$5:$A$304,0)),0))</f>
        <v>0</v>
      </c>
      <c r="N478" s="37" t="str">
        <f aca="false">IF(A478="","",IFERROR(INDEX(Customers!$E$5:$E$204,MATCH(C478,Customers!$A$5:$A$204,0)),"?"))</f>
        <v/>
      </c>
      <c r="O478" s="38" t="str">
        <f aca="false">IF(A478="","",IF(N478=Settings!$B$17,"No","Yes"))</f>
        <v/>
      </c>
      <c r="P478" s="35" t="n">
        <f aca="false">IF(O478="Yes",ROUND(L478*M478,2),0)</f>
        <v>0</v>
      </c>
      <c r="Q478" s="35" t="n">
        <f aca="false">IF(O478="No",ROUND(L478*M478/2,2),0)</f>
        <v>0</v>
      </c>
      <c r="R478" s="35" t="n">
        <f aca="false">Q478</f>
        <v>0</v>
      </c>
      <c r="S478" s="35" t="n">
        <f aca="false">L478+P478+Q478+R478</f>
        <v>0</v>
      </c>
      <c r="T478" s="34" t="str">
        <f aca="false">IF(A478="","",IFERROR(INDEX(Customers!$B$5:$B$204,MATCH(C478,Customers!$A$5:$A$204,0))&amp;"",""))</f>
        <v/>
      </c>
      <c r="U478" s="38" t="str">
        <f aca="false">IF(A478="","",IF(T478&lt;&gt;"","B2B",IF(AND(O478="Yes",SUMIF($A$5:$A$1004,A478,$L$5:$L$1004)+SUMIF($A$5:$A$1004,A478,$P$5:$P$1004)&gt;100000),"B2CL","B2CS")))</f>
        <v/>
      </c>
      <c r="V478" s="17" t="str">
        <f aca="false">IF(A478="","",TEXT(B478,"mmm-yyyy"))</f>
        <v/>
      </c>
    </row>
    <row r="479" customFormat="false" ht="15" hidden="false" customHeight="true" outlineLevel="0" collapsed="false">
      <c r="A479" s="24"/>
      <c r="B479" s="39"/>
      <c r="C479" s="24"/>
      <c r="D479" s="24"/>
      <c r="E479" s="40"/>
      <c r="F479" s="29"/>
      <c r="G479" s="30"/>
      <c r="H479" s="17" t="str">
        <f aca="false">IF(A479="","",A479&amp;"|"&amp;COUNTIF(A$5:A479,A479))</f>
        <v/>
      </c>
      <c r="I479" s="33" t="str">
        <f aca="false">IF(A479="","",IFERROR(INDEX(Items!$B$5:$B$304,MATCH(D479,Items!$A$5:$A$304,0))&amp;"",""))</f>
        <v/>
      </c>
      <c r="J479" s="34" t="str">
        <f aca="false">IF(A479="","",IFERROR(INDEX(Items!$C$5:$C$304,MATCH(D479,Items!$A$5:$A$304,0))&amp;"",""))</f>
        <v/>
      </c>
      <c r="K479" s="35" t="n">
        <f aca="false">IF(A479="",0,IF(ISNUMBER(F479),F479,IFERROR(INDEX(Items!$D$5:$D$304,MATCH(D479,Items!$A$5:$A$304,0)),0)))</f>
        <v>0</v>
      </c>
      <c r="L479" s="35" t="n">
        <f aca="false">ROUND(N(E479)*K479*(1-N(G479)),2)</f>
        <v>0</v>
      </c>
      <c r="M479" s="36" t="n">
        <f aca="false">IF(A479="",0,IFERROR(INDEX(Items!$E$5:$E$304,MATCH(D479,Items!$A$5:$A$304,0)),0))</f>
        <v>0</v>
      </c>
      <c r="N479" s="37" t="str">
        <f aca="false">IF(A479="","",IFERROR(INDEX(Customers!$E$5:$E$204,MATCH(C479,Customers!$A$5:$A$204,0)),"?"))</f>
        <v/>
      </c>
      <c r="O479" s="38" t="str">
        <f aca="false">IF(A479="","",IF(N479=Settings!$B$17,"No","Yes"))</f>
        <v/>
      </c>
      <c r="P479" s="35" t="n">
        <f aca="false">IF(O479="Yes",ROUND(L479*M479,2),0)</f>
        <v>0</v>
      </c>
      <c r="Q479" s="35" t="n">
        <f aca="false">IF(O479="No",ROUND(L479*M479/2,2),0)</f>
        <v>0</v>
      </c>
      <c r="R479" s="35" t="n">
        <f aca="false">Q479</f>
        <v>0</v>
      </c>
      <c r="S479" s="35" t="n">
        <f aca="false">L479+P479+Q479+R479</f>
        <v>0</v>
      </c>
      <c r="T479" s="34" t="str">
        <f aca="false">IF(A479="","",IFERROR(INDEX(Customers!$B$5:$B$204,MATCH(C479,Customers!$A$5:$A$204,0))&amp;"",""))</f>
        <v/>
      </c>
      <c r="U479" s="38" t="str">
        <f aca="false">IF(A479="","",IF(T479&lt;&gt;"","B2B",IF(AND(O479="Yes",SUMIF($A$5:$A$1004,A479,$L$5:$L$1004)+SUMIF($A$5:$A$1004,A479,$P$5:$P$1004)&gt;100000),"B2CL","B2CS")))</f>
        <v/>
      </c>
      <c r="V479" s="17" t="str">
        <f aca="false">IF(A479="","",TEXT(B479,"mmm-yyyy"))</f>
        <v/>
      </c>
    </row>
    <row r="480" customFormat="false" ht="15" hidden="false" customHeight="true" outlineLevel="0" collapsed="false">
      <c r="A480" s="24"/>
      <c r="B480" s="39"/>
      <c r="C480" s="24"/>
      <c r="D480" s="24"/>
      <c r="E480" s="40"/>
      <c r="F480" s="29"/>
      <c r="G480" s="30"/>
      <c r="H480" s="17" t="str">
        <f aca="false">IF(A480="","",A480&amp;"|"&amp;COUNTIF(A$5:A480,A480))</f>
        <v/>
      </c>
      <c r="I480" s="33" t="str">
        <f aca="false">IF(A480="","",IFERROR(INDEX(Items!$B$5:$B$304,MATCH(D480,Items!$A$5:$A$304,0))&amp;"",""))</f>
        <v/>
      </c>
      <c r="J480" s="34" t="str">
        <f aca="false">IF(A480="","",IFERROR(INDEX(Items!$C$5:$C$304,MATCH(D480,Items!$A$5:$A$304,0))&amp;"",""))</f>
        <v/>
      </c>
      <c r="K480" s="35" t="n">
        <f aca="false">IF(A480="",0,IF(ISNUMBER(F480),F480,IFERROR(INDEX(Items!$D$5:$D$304,MATCH(D480,Items!$A$5:$A$304,0)),0)))</f>
        <v>0</v>
      </c>
      <c r="L480" s="35" t="n">
        <f aca="false">ROUND(N(E480)*K480*(1-N(G480)),2)</f>
        <v>0</v>
      </c>
      <c r="M480" s="36" t="n">
        <f aca="false">IF(A480="",0,IFERROR(INDEX(Items!$E$5:$E$304,MATCH(D480,Items!$A$5:$A$304,0)),0))</f>
        <v>0</v>
      </c>
      <c r="N480" s="37" t="str">
        <f aca="false">IF(A480="","",IFERROR(INDEX(Customers!$E$5:$E$204,MATCH(C480,Customers!$A$5:$A$204,0)),"?"))</f>
        <v/>
      </c>
      <c r="O480" s="38" t="str">
        <f aca="false">IF(A480="","",IF(N480=Settings!$B$17,"No","Yes"))</f>
        <v/>
      </c>
      <c r="P480" s="35" t="n">
        <f aca="false">IF(O480="Yes",ROUND(L480*M480,2),0)</f>
        <v>0</v>
      </c>
      <c r="Q480" s="35" t="n">
        <f aca="false">IF(O480="No",ROUND(L480*M480/2,2),0)</f>
        <v>0</v>
      </c>
      <c r="R480" s="35" t="n">
        <f aca="false">Q480</f>
        <v>0</v>
      </c>
      <c r="S480" s="35" t="n">
        <f aca="false">L480+P480+Q480+R480</f>
        <v>0</v>
      </c>
      <c r="T480" s="34" t="str">
        <f aca="false">IF(A480="","",IFERROR(INDEX(Customers!$B$5:$B$204,MATCH(C480,Customers!$A$5:$A$204,0))&amp;"",""))</f>
        <v/>
      </c>
      <c r="U480" s="38" t="str">
        <f aca="false">IF(A480="","",IF(T480&lt;&gt;"","B2B",IF(AND(O480="Yes",SUMIF($A$5:$A$1004,A480,$L$5:$L$1004)+SUMIF($A$5:$A$1004,A480,$P$5:$P$1004)&gt;100000),"B2CL","B2CS")))</f>
        <v/>
      </c>
      <c r="V480" s="17" t="str">
        <f aca="false">IF(A480="","",TEXT(B480,"mmm-yyyy"))</f>
        <v/>
      </c>
    </row>
    <row r="481" customFormat="false" ht="15" hidden="false" customHeight="true" outlineLevel="0" collapsed="false">
      <c r="A481" s="24"/>
      <c r="B481" s="39"/>
      <c r="C481" s="24"/>
      <c r="D481" s="24"/>
      <c r="E481" s="40"/>
      <c r="F481" s="29"/>
      <c r="G481" s="30"/>
      <c r="H481" s="17" t="str">
        <f aca="false">IF(A481="","",A481&amp;"|"&amp;COUNTIF(A$5:A481,A481))</f>
        <v/>
      </c>
      <c r="I481" s="33" t="str">
        <f aca="false">IF(A481="","",IFERROR(INDEX(Items!$B$5:$B$304,MATCH(D481,Items!$A$5:$A$304,0))&amp;"",""))</f>
        <v/>
      </c>
      <c r="J481" s="34" t="str">
        <f aca="false">IF(A481="","",IFERROR(INDEX(Items!$C$5:$C$304,MATCH(D481,Items!$A$5:$A$304,0))&amp;"",""))</f>
        <v/>
      </c>
      <c r="K481" s="35" t="n">
        <f aca="false">IF(A481="",0,IF(ISNUMBER(F481),F481,IFERROR(INDEX(Items!$D$5:$D$304,MATCH(D481,Items!$A$5:$A$304,0)),0)))</f>
        <v>0</v>
      </c>
      <c r="L481" s="35" t="n">
        <f aca="false">ROUND(N(E481)*K481*(1-N(G481)),2)</f>
        <v>0</v>
      </c>
      <c r="M481" s="36" t="n">
        <f aca="false">IF(A481="",0,IFERROR(INDEX(Items!$E$5:$E$304,MATCH(D481,Items!$A$5:$A$304,0)),0))</f>
        <v>0</v>
      </c>
      <c r="N481" s="37" t="str">
        <f aca="false">IF(A481="","",IFERROR(INDEX(Customers!$E$5:$E$204,MATCH(C481,Customers!$A$5:$A$204,0)),"?"))</f>
        <v/>
      </c>
      <c r="O481" s="38" t="str">
        <f aca="false">IF(A481="","",IF(N481=Settings!$B$17,"No","Yes"))</f>
        <v/>
      </c>
      <c r="P481" s="35" t="n">
        <f aca="false">IF(O481="Yes",ROUND(L481*M481,2),0)</f>
        <v>0</v>
      </c>
      <c r="Q481" s="35" t="n">
        <f aca="false">IF(O481="No",ROUND(L481*M481/2,2),0)</f>
        <v>0</v>
      </c>
      <c r="R481" s="35" t="n">
        <f aca="false">Q481</f>
        <v>0</v>
      </c>
      <c r="S481" s="35" t="n">
        <f aca="false">L481+P481+Q481+R481</f>
        <v>0</v>
      </c>
      <c r="T481" s="34" t="str">
        <f aca="false">IF(A481="","",IFERROR(INDEX(Customers!$B$5:$B$204,MATCH(C481,Customers!$A$5:$A$204,0))&amp;"",""))</f>
        <v/>
      </c>
      <c r="U481" s="38" t="str">
        <f aca="false">IF(A481="","",IF(T481&lt;&gt;"","B2B",IF(AND(O481="Yes",SUMIF($A$5:$A$1004,A481,$L$5:$L$1004)+SUMIF($A$5:$A$1004,A481,$P$5:$P$1004)&gt;100000),"B2CL","B2CS")))</f>
        <v/>
      </c>
      <c r="V481" s="17" t="str">
        <f aca="false">IF(A481="","",TEXT(B481,"mmm-yyyy"))</f>
        <v/>
      </c>
    </row>
    <row r="482" customFormat="false" ht="15" hidden="false" customHeight="true" outlineLevel="0" collapsed="false">
      <c r="A482" s="24"/>
      <c r="B482" s="39"/>
      <c r="C482" s="24"/>
      <c r="D482" s="24"/>
      <c r="E482" s="40"/>
      <c r="F482" s="29"/>
      <c r="G482" s="30"/>
      <c r="H482" s="17" t="str">
        <f aca="false">IF(A482="","",A482&amp;"|"&amp;COUNTIF(A$5:A482,A482))</f>
        <v/>
      </c>
      <c r="I482" s="33" t="str">
        <f aca="false">IF(A482="","",IFERROR(INDEX(Items!$B$5:$B$304,MATCH(D482,Items!$A$5:$A$304,0))&amp;"",""))</f>
        <v/>
      </c>
      <c r="J482" s="34" t="str">
        <f aca="false">IF(A482="","",IFERROR(INDEX(Items!$C$5:$C$304,MATCH(D482,Items!$A$5:$A$304,0))&amp;"",""))</f>
        <v/>
      </c>
      <c r="K482" s="35" t="n">
        <f aca="false">IF(A482="",0,IF(ISNUMBER(F482),F482,IFERROR(INDEX(Items!$D$5:$D$304,MATCH(D482,Items!$A$5:$A$304,0)),0)))</f>
        <v>0</v>
      </c>
      <c r="L482" s="35" t="n">
        <f aca="false">ROUND(N(E482)*K482*(1-N(G482)),2)</f>
        <v>0</v>
      </c>
      <c r="M482" s="36" t="n">
        <f aca="false">IF(A482="",0,IFERROR(INDEX(Items!$E$5:$E$304,MATCH(D482,Items!$A$5:$A$304,0)),0))</f>
        <v>0</v>
      </c>
      <c r="N482" s="37" t="str">
        <f aca="false">IF(A482="","",IFERROR(INDEX(Customers!$E$5:$E$204,MATCH(C482,Customers!$A$5:$A$204,0)),"?"))</f>
        <v/>
      </c>
      <c r="O482" s="38" t="str">
        <f aca="false">IF(A482="","",IF(N482=Settings!$B$17,"No","Yes"))</f>
        <v/>
      </c>
      <c r="P482" s="35" t="n">
        <f aca="false">IF(O482="Yes",ROUND(L482*M482,2),0)</f>
        <v>0</v>
      </c>
      <c r="Q482" s="35" t="n">
        <f aca="false">IF(O482="No",ROUND(L482*M482/2,2),0)</f>
        <v>0</v>
      </c>
      <c r="R482" s="35" t="n">
        <f aca="false">Q482</f>
        <v>0</v>
      </c>
      <c r="S482" s="35" t="n">
        <f aca="false">L482+P482+Q482+R482</f>
        <v>0</v>
      </c>
      <c r="T482" s="34" t="str">
        <f aca="false">IF(A482="","",IFERROR(INDEX(Customers!$B$5:$B$204,MATCH(C482,Customers!$A$5:$A$204,0))&amp;"",""))</f>
        <v/>
      </c>
      <c r="U482" s="38" t="str">
        <f aca="false">IF(A482="","",IF(T482&lt;&gt;"","B2B",IF(AND(O482="Yes",SUMIF($A$5:$A$1004,A482,$L$5:$L$1004)+SUMIF($A$5:$A$1004,A482,$P$5:$P$1004)&gt;100000),"B2CL","B2CS")))</f>
        <v/>
      </c>
      <c r="V482" s="17" t="str">
        <f aca="false">IF(A482="","",TEXT(B482,"mmm-yyyy"))</f>
        <v/>
      </c>
    </row>
    <row r="483" customFormat="false" ht="15" hidden="false" customHeight="true" outlineLevel="0" collapsed="false">
      <c r="A483" s="24"/>
      <c r="B483" s="39"/>
      <c r="C483" s="24"/>
      <c r="D483" s="24"/>
      <c r="E483" s="40"/>
      <c r="F483" s="29"/>
      <c r="G483" s="30"/>
      <c r="H483" s="17" t="str">
        <f aca="false">IF(A483="","",A483&amp;"|"&amp;COUNTIF(A$5:A483,A483))</f>
        <v/>
      </c>
      <c r="I483" s="33" t="str">
        <f aca="false">IF(A483="","",IFERROR(INDEX(Items!$B$5:$B$304,MATCH(D483,Items!$A$5:$A$304,0))&amp;"",""))</f>
        <v/>
      </c>
      <c r="J483" s="34" t="str">
        <f aca="false">IF(A483="","",IFERROR(INDEX(Items!$C$5:$C$304,MATCH(D483,Items!$A$5:$A$304,0))&amp;"",""))</f>
        <v/>
      </c>
      <c r="K483" s="35" t="n">
        <f aca="false">IF(A483="",0,IF(ISNUMBER(F483),F483,IFERROR(INDEX(Items!$D$5:$D$304,MATCH(D483,Items!$A$5:$A$304,0)),0)))</f>
        <v>0</v>
      </c>
      <c r="L483" s="35" t="n">
        <f aca="false">ROUND(N(E483)*K483*(1-N(G483)),2)</f>
        <v>0</v>
      </c>
      <c r="M483" s="36" t="n">
        <f aca="false">IF(A483="",0,IFERROR(INDEX(Items!$E$5:$E$304,MATCH(D483,Items!$A$5:$A$304,0)),0))</f>
        <v>0</v>
      </c>
      <c r="N483" s="37" t="str">
        <f aca="false">IF(A483="","",IFERROR(INDEX(Customers!$E$5:$E$204,MATCH(C483,Customers!$A$5:$A$204,0)),"?"))</f>
        <v/>
      </c>
      <c r="O483" s="38" t="str">
        <f aca="false">IF(A483="","",IF(N483=Settings!$B$17,"No","Yes"))</f>
        <v/>
      </c>
      <c r="P483" s="35" t="n">
        <f aca="false">IF(O483="Yes",ROUND(L483*M483,2),0)</f>
        <v>0</v>
      </c>
      <c r="Q483" s="35" t="n">
        <f aca="false">IF(O483="No",ROUND(L483*M483/2,2),0)</f>
        <v>0</v>
      </c>
      <c r="R483" s="35" t="n">
        <f aca="false">Q483</f>
        <v>0</v>
      </c>
      <c r="S483" s="35" t="n">
        <f aca="false">L483+P483+Q483+R483</f>
        <v>0</v>
      </c>
      <c r="T483" s="34" t="str">
        <f aca="false">IF(A483="","",IFERROR(INDEX(Customers!$B$5:$B$204,MATCH(C483,Customers!$A$5:$A$204,0))&amp;"",""))</f>
        <v/>
      </c>
      <c r="U483" s="38" t="str">
        <f aca="false">IF(A483="","",IF(T483&lt;&gt;"","B2B",IF(AND(O483="Yes",SUMIF($A$5:$A$1004,A483,$L$5:$L$1004)+SUMIF($A$5:$A$1004,A483,$P$5:$P$1004)&gt;100000),"B2CL","B2CS")))</f>
        <v/>
      </c>
      <c r="V483" s="17" t="str">
        <f aca="false">IF(A483="","",TEXT(B483,"mmm-yyyy"))</f>
        <v/>
      </c>
    </row>
    <row r="484" customFormat="false" ht="15" hidden="false" customHeight="true" outlineLevel="0" collapsed="false">
      <c r="A484" s="24"/>
      <c r="B484" s="39"/>
      <c r="C484" s="24"/>
      <c r="D484" s="24"/>
      <c r="E484" s="40"/>
      <c r="F484" s="29"/>
      <c r="G484" s="30"/>
      <c r="H484" s="17" t="str">
        <f aca="false">IF(A484="","",A484&amp;"|"&amp;COUNTIF(A$5:A484,A484))</f>
        <v/>
      </c>
      <c r="I484" s="33" t="str">
        <f aca="false">IF(A484="","",IFERROR(INDEX(Items!$B$5:$B$304,MATCH(D484,Items!$A$5:$A$304,0))&amp;"",""))</f>
        <v/>
      </c>
      <c r="J484" s="34" t="str">
        <f aca="false">IF(A484="","",IFERROR(INDEX(Items!$C$5:$C$304,MATCH(D484,Items!$A$5:$A$304,0))&amp;"",""))</f>
        <v/>
      </c>
      <c r="K484" s="35" t="n">
        <f aca="false">IF(A484="",0,IF(ISNUMBER(F484),F484,IFERROR(INDEX(Items!$D$5:$D$304,MATCH(D484,Items!$A$5:$A$304,0)),0)))</f>
        <v>0</v>
      </c>
      <c r="L484" s="35" t="n">
        <f aca="false">ROUND(N(E484)*K484*(1-N(G484)),2)</f>
        <v>0</v>
      </c>
      <c r="M484" s="36" t="n">
        <f aca="false">IF(A484="",0,IFERROR(INDEX(Items!$E$5:$E$304,MATCH(D484,Items!$A$5:$A$304,0)),0))</f>
        <v>0</v>
      </c>
      <c r="N484" s="37" t="str">
        <f aca="false">IF(A484="","",IFERROR(INDEX(Customers!$E$5:$E$204,MATCH(C484,Customers!$A$5:$A$204,0)),"?"))</f>
        <v/>
      </c>
      <c r="O484" s="38" t="str">
        <f aca="false">IF(A484="","",IF(N484=Settings!$B$17,"No","Yes"))</f>
        <v/>
      </c>
      <c r="P484" s="35" t="n">
        <f aca="false">IF(O484="Yes",ROUND(L484*M484,2),0)</f>
        <v>0</v>
      </c>
      <c r="Q484" s="35" t="n">
        <f aca="false">IF(O484="No",ROUND(L484*M484/2,2),0)</f>
        <v>0</v>
      </c>
      <c r="R484" s="35" t="n">
        <f aca="false">Q484</f>
        <v>0</v>
      </c>
      <c r="S484" s="35" t="n">
        <f aca="false">L484+P484+Q484+R484</f>
        <v>0</v>
      </c>
      <c r="T484" s="34" t="str">
        <f aca="false">IF(A484="","",IFERROR(INDEX(Customers!$B$5:$B$204,MATCH(C484,Customers!$A$5:$A$204,0))&amp;"",""))</f>
        <v/>
      </c>
      <c r="U484" s="38" t="str">
        <f aca="false">IF(A484="","",IF(T484&lt;&gt;"","B2B",IF(AND(O484="Yes",SUMIF($A$5:$A$1004,A484,$L$5:$L$1004)+SUMIF($A$5:$A$1004,A484,$P$5:$P$1004)&gt;100000),"B2CL","B2CS")))</f>
        <v/>
      </c>
      <c r="V484" s="17" t="str">
        <f aca="false">IF(A484="","",TEXT(B484,"mmm-yyyy"))</f>
        <v/>
      </c>
    </row>
    <row r="485" customFormat="false" ht="15" hidden="false" customHeight="true" outlineLevel="0" collapsed="false">
      <c r="A485" s="24"/>
      <c r="B485" s="39"/>
      <c r="C485" s="24"/>
      <c r="D485" s="24"/>
      <c r="E485" s="40"/>
      <c r="F485" s="29"/>
      <c r="G485" s="30"/>
      <c r="H485" s="17" t="str">
        <f aca="false">IF(A485="","",A485&amp;"|"&amp;COUNTIF(A$5:A485,A485))</f>
        <v/>
      </c>
      <c r="I485" s="33" t="str">
        <f aca="false">IF(A485="","",IFERROR(INDEX(Items!$B$5:$B$304,MATCH(D485,Items!$A$5:$A$304,0))&amp;"",""))</f>
        <v/>
      </c>
      <c r="J485" s="34" t="str">
        <f aca="false">IF(A485="","",IFERROR(INDEX(Items!$C$5:$C$304,MATCH(D485,Items!$A$5:$A$304,0))&amp;"",""))</f>
        <v/>
      </c>
      <c r="K485" s="35" t="n">
        <f aca="false">IF(A485="",0,IF(ISNUMBER(F485),F485,IFERROR(INDEX(Items!$D$5:$D$304,MATCH(D485,Items!$A$5:$A$304,0)),0)))</f>
        <v>0</v>
      </c>
      <c r="L485" s="35" t="n">
        <f aca="false">ROUND(N(E485)*K485*(1-N(G485)),2)</f>
        <v>0</v>
      </c>
      <c r="M485" s="36" t="n">
        <f aca="false">IF(A485="",0,IFERROR(INDEX(Items!$E$5:$E$304,MATCH(D485,Items!$A$5:$A$304,0)),0))</f>
        <v>0</v>
      </c>
      <c r="N485" s="37" t="str">
        <f aca="false">IF(A485="","",IFERROR(INDEX(Customers!$E$5:$E$204,MATCH(C485,Customers!$A$5:$A$204,0)),"?"))</f>
        <v/>
      </c>
      <c r="O485" s="38" t="str">
        <f aca="false">IF(A485="","",IF(N485=Settings!$B$17,"No","Yes"))</f>
        <v/>
      </c>
      <c r="P485" s="35" t="n">
        <f aca="false">IF(O485="Yes",ROUND(L485*M485,2),0)</f>
        <v>0</v>
      </c>
      <c r="Q485" s="35" t="n">
        <f aca="false">IF(O485="No",ROUND(L485*M485/2,2),0)</f>
        <v>0</v>
      </c>
      <c r="R485" s="35" t="n">
        <f aca="false">Q485</f>
        <v>0</v>
      </c>
      <c r="S485" s="35" t="n">
        <f aca="false">L485+P485+Q485+R485</f>
        <v>0</v>
      </c>
      <c r="T485" s="34" t="str">
        <f aca="false">IF(A485="","",IFERROR(INDEX(Customers!$B$5:$B$204,MATCH(C485,Customers!$A$5:$A$204,0))&amp;"",""))</f>
        <v/>
      </c>
      <c r="U485" s="38" t="str">
        <f aca="false">IF(A485="","",IF(T485&lt;&gt;"","B2B",IF(AND(O485="Yes",SUMIF($A$5:$A$1004,A485,$L$5:$L$1004)+SUMIF($A$5:$A$1004,A485,$P$5:$P$1004)&gt;100000),"B2CL","B2CS")))</f>
        <v/>
      </c>
      <c r="V485" s="17" t="str">
        <f aca="false">IF(A485="","",TEXT(B485,"mmm-yyyy"))</f>
        <v/>
      </c>
    </row>
    <row r="486" customFormat="false" ht="15" hidden="false" customHeight="true" outlineLevel="0" collapsed="false">
      <c r="A486" s="24"/>
      <c r="B486" s="39"/>
      <c r="C486" s="24"/>
      <c r="D486" s="24"/>
      <c r="E486" s="40"/>
      <c r="F486" s="29"/>
      <c r="G486" s="30"/>
      <c r="H486" s="17" t="str">
        <f aca="false">IF(A486="","",A486&amp;"|"&amp;COUNTIF(A$5:A486,A486))</f>
        <v/>
      </c>
      <c r="I486" s="33" t="str">
        <f aca="false">IF(A486="","",IFERROR(INDEX(Items!$B$5:$B$304,MATCH(D486,Items!$A$5:$A$304,0))&amp;"",""))</f>
        <v/>
      </c>
      <c r="J486" s="34" t="str">
        <f aca="false">IF(A486="","",IFERROR(INDEX(Items!$C$5:$C$304,MATCH(D486,Items!$A$5:$A$304,0))&amp;"",""))</f>
        <v/>
      </c>
      <c r="K486" s="35" t="n">
        <f aca="false">IF(A486="",0,IF(ISNUMBER(F486),F486,IFERROR(INDEX(Items!$D$5:$D$304,MATCH(D486,Items!$A$5:$A$304,0)),0)))</f>
        <v>0</v>
      </c>
      <c r="L486" s="35" t="n">
        <f aca="false">ROUND(N(E486)*K486*(1-N(G486)),2)</f>
        <v>0</v>
      </c>
      <c r="M486" s="36" t="n">
        <f aca="false">IF(A486="",0,IFERROR(INDEX(Items!$E$5:$E$304,MATCH(D486,Items!$A$5:$A$304,0)),0))</f>
        <v>0</v>
      </c>
      <c r="N486" s="37" t="str">
        <f aca="false">IF(A486="","",IFERROR(INDEX(Customers!$E$5:$E$204,MATCH(C486,Customers!$A$5:$A$204,0)),"?"))</f>
        <v/>
      </c>
      <c r="O486" s="38" t="str">
        <f aca="false">IF(A486="","",IF(N486=Settings!$B$17,"No","Yes"))</f>
        <v/>
      </c>
      <c r="P486" s="35" t="n">
        <f aca="false">IF(O486="Yes",ROUND(L486*M486,2),0)</f>
        <v>0</v>
      </c>
      <c r="Q486" s="35" t="n">
        <f aca="false">IF(O486="No",ROUND(L486*M486/2,2),0)</f>
        <v>0</v>
      </c>
      <c r="R486" s="35" t="n">
        <f aca="false">Q486</f>
        <v>0</v>
      </c>
      <c r="S486" s="35" t="n">
        <f aca="false">L486+P486+Q486+R486</f>
        <v>0</v>
      </c>
      <c r="T486" s="34" t="str">
        <f aca="false">IF(A486="","",IFERROR(INDEX(Customers!$B$5:$B$204,MATCH(C486,Customers!$A$5:$A$204,0))&amp;"",""))</f>
        <v/>
      </c>
      <c r="U486" s="38" t="str">
        <f aca="false">IF(A486="","",IF(T486&lt;&gt;"","B2B",IF(AND(O486="Yes",SUMIF($A$5:$A$1004,A486,$L$5:$L$1004)+SUMIF($A$5:$A$1004,A486,$P$5:$P$1004)&gt;100000),"B2CL","B2CS")))</f>
        <v/>
      </c>
      <c r="V486" s="17" t="str">
        <f aca="false">IF(A486="","",TEXT(B486,"mmm-yyyy"))</f>
        <v/>
      </c>
    </row>
    <row r="487" customFormat="false" ht="15" hidden="false" customHeight="true" outlineLevel="0" collapsed="false">
      <c r="A487" s="24"/>
      <c r="B487" s="39"/>
      <c r="C487" s="24"/>
      <c r="D487" s="24"/>
      <c r="E487" s="40"/>
      <c r="F487" s="29"/>
      <c r="G487" s="30"/>
      <c r="H487" s="17" t="str">
        <f aca="false">IF(A487="","",A487&amp;"|"&amp;COUNTIF(A$5:A487,A487))</f>
        <v/>
      </c>
      <c r="I487" s="33" t="str">
        <f aca="false">IF(A487="","",IFERROR(INDEX(Items!$B$5:$B$304,MATCH(D487,Items!$A$5:$A$304,0))&amp;"",""))</f>
        <v/>
      </c>
      <c r="J487" s="34" t="str">
        <f aca="false">IF(A487="","",IFERROR(INDEX(Items!$C$5:$C$304,MATCH(D487,Items!$A$5:$A$304,0))&amp;"",""))</f>
        <v/>
      </c>
      <c r="K487" s="35" t="n">
        <f aca="false">IF(A487="",0,IF(ISNUMBER(F487),F487,IFERROR(INDEX(Items!$D$5:$D$304,MATCH(D487,Items!$A$5:$A$304,0)),0)))</f>
        <v>0</v>
      </c>
      <c r="L487" s="35" t="n">
        <f aca="false">ROUND(N(E487)*K487*(1-N(G487)),2)</f>
        <v>0</v>
      </c>
      <c r="M487" s="36" t="n">
        <f aca="false">IF(A487="",0,IFERROR(INDEX(Items!$E$5:$E$304,MATCH(D487,Items!$A$5:$A$304,0)),0))</f>
        <v>0</v>
      </c>
      <c r="N487" s="37" t="str">
        <f aca="false">IF(A487="","",IFERROR(INDEX(Customers!$E$5:$E$204,MATCH(C487,Customers!$A$5:$A$204,0)),"?"))</f>
        <v/>
      </c>
      <c r="O487" s="38" t="str">
        <f aca="false">IF(A487="","",IF(N487=Settings!$B$17,"No","Yes"))</f>
        <v/>
      </c>
      <c r="P487" s="35" t="n">
        <f aca="false">IF(O487="Yes",ROUND(L487*M487,2),0)</f>
        <v>0</v>
      </c>
      <c r="Q487" s="35" t="n">
        <f aca="false">IF(O487="No",ROUND(L487*M487/2,2),0)</f>
        <v>0</v>
      </c>
      <c r="R487" s="35" t="n">
        <f aca="false">Q487</f>
        <v>0</v>
      </c>
      <c r="S487" s="35" t="n">
        <f aca="false">L487+P487+Q487+R487</f>
        <v>0</v>
      </c>
      <c r="T487" s="34" t="str">
        <f aca="false">IF(A487="","",IFERROR(INDEX(Customers!$B$5:$B$204,MATCH(C487,Customers!$A$5:$A$204,0))&amp;"",""))</f>
        <v/>
      </c>
      <c r="U487" s="38" t="str">
        <f aca="false">IF(A487="","",IF(T487&lt;&gt;"","B2B",IF(AND(O487="Yes",SUMIF($A$5:$A$1004,A487,$L$5:$L$1004)+SUMIF($A$5:$A$1004,A487,$P$5:$P$1004)&gt;100000),"B2CL","B2CS")))</f>
        <v/>
      </c>
      <c r="V487" s="17" t="str">
        <f aca="false">IF(A487="","",TEXT(B487,"mmm-yyyy"))</f>
        <v/>
      </c>
    </row>
    <row r="488" customFormat="false" ht="15" hidden="false" customHeight="true" outlineLevel="0" collapsed="false">
      <c r="A488" s="24"/>
      <c r="B488" s="39"/>
      <c r="C488" s="24"/>
      <c r="D488" s="24"/>
      <c r="E488" s="40"/>
      <c r="F488" s="29"/>
      <c r="G488" s="30"/>
      <c r="H488" s="17" t="str">
        <f aca="false">IF(A488="","",A488&amp;"|"&amp;COUNTIF(A$5:A488,A488))</f>
        <v/>
      </c>
      <c r="I488" s="33" t="str">
        <f aca="false">IF(A488="","",IFERROR(INDEX(Items!$B$5:$B$304,MATCH(D488,Items!$A$5:$A$304,0))&amp;"",""))</f>
        <v/>
      </c>
      <c r="J488" s="34" t="str">
        <f aca="false">IF(A488="","",IFERROR(INDEX(Items!$C$5:$C$304,MATCH(D488,Items!$A$5:$A$304,0))&amp;"",""))</f>
        <v/>
      </c>
      <c r="K488" s="35" t="n">
        <f aca="false">IF(A488="",0,IF(ISNUMBER(F488),F488,IFERROR(INDEX(Items!$D$5:$D$304,MATCH(D488,Items!$A$5:$A$304,0)),0)))</f>
        <v>0</v>
      </c>
      <c r="L488" s="35" t="n">
        <f aca="false">ROUND(N(E488)*K488*(1-N(G488)),2)</f>
        <v>0</v>
      </c>
      <c r="M488" s="36" t="n">
        <f aca="false">IF(A488="",0,IFERROR(INDEX(Items!$E$5:$E$304,MATCH(D488,Items!$A$5:$A$304,0)),0))</f>
        <v>0</v>
      </c>
      <c r="N488" s="37" t="str">
        <f aca="false">IF(A488="","",IFERROR(INDEX(Customers!$E$5:$E$204,MATCH(C488,Customers!$A$5:$A$204,0)),"?"))</f>
        <v/>
      </c>
      <c r="O488" s="38" t="str">
        <f aca="false">IF(A488="","",IF(N488=Settings!$B$17,"No","Yes"))</f>
        <v/>
      </c>
      <c r="P488" s="35" t="n">
        <f aca="false">IF(O488="Yes",ROUND(L488*M488,2),0)</f>
        <v>0</v>
      </c>
      <c r="Q488" s="35" t="n">
        <f aca="false">IF(O488="No",ROUND(L488*M488/2,2),0)</f>
        <v>0</v>
      </c>
      <c r="R488" s="35" t="n">
        <f aca="false">Q488</f>
        <v>0</v>
      </c>
      <c r="S488" s="35" t="n">
        <f aca="false">L488+P488+Q488+R488</f>
        <v>0</v>
      </c>
      <c r="T488" s="34" t="str">
        <f aca="false">IF(A488="","",IFERROR(INDEX(Customers!$B$5:$B$204,MATCH(C488,Customers!$A$5:$A$204,0))&amp;"",""))</f>
        <v/>
      </c>
      <c r="U488" s="38" t="str">
        <f aca="false">IF(A488="","",IF(T488&lt;&gt;"","B2B",IF(AND(O488="Yes",SUMIF($A$5:$A$1004,A488,$L$5:$L$1004)+SUMIF($A$5:$A$1004,A488,$P$5:$P$1004)&gt;100000),"B2CL","B2CS")))</f>
        <v/>
      </c>
      <c r="V488" s="17" t="str">
        <f aca="false">IF(A488="","",TEXT(B488,"mmm-yyyy"))</f>
        <v/>
      </c>
    </row>
    <row r="489" customFormat="false" ht="15" hidden="false" customHeight="true" outlineLevel="0" collapsed="false">
      <c r="A489" s="24"/>
      <c r="B489" s="39"/>
      <c r="C489" s="24"/>
      <c r="D489" s="24"/>
      <c r="E489" s="40"/>
      <c r="F489" s="29"/>
      <c r="G489" s="30"/>
      <c r="H489" s="17" t="str">
        <f aca="false">IF(A489="","",A489&amp;"|"&amp;COUNTIF(A$5:A489,A489))</f>
        <v/>
      </c>
      <c r="I489" s="33" t="str">
        <f aca="false">IF(A489="","",IFERROR(INDEX(Items!$B$5:$B$304,MATCH(D489,Items!$A$5:$A$304,0))&amp;"",""))</f>
        <v/>
      </c>
      <c r="J489" s="34" t="str">
        <f aca="false">IF(A489="","",IFERROR(INDEX(Items!$C$5:$C$304,MATCH(D489,Items!$A$5:$A$304,0))&amp;"",""))</f>
        <v/>
      </c>
      <c r="K489" s="35" t="n">
        <f aca="false">IF(A489="",0,IF(ISNUMBER(F489),F489,IFERROR(INDEX(Items!$D$5:$D$304,MATCH(D489,Items!$A$5:$A$304,0)),0)))</f>
        <v>0</v>
      </c>
      <c r="L489" s="35" t="n">
        <f aca="false">ROUND(N(E489)*K489*(1-N(G489)),2)</f>
        <v>0</v>
      </c>
      <c r="M489" s="36" t="n">
        <f aca="false">IF(A489="",0,IFERROR(INDEX(Items!$E$5:$E$304,MATCH(D489,Items!$A$5:$A$304,0)),0))</f>
        <v>0</v>
      </c>
      <c r="N489" s="37" t="str">
        <f aca="false">IF(A489="","",IFERROR(INDEX(Customers!$E$5:$E$204,MATCH(C489,Customers!$A$5:$A$204,0)),"?"))</f>
        <v/>
      </c>
      <c r="O489" s="38" t="str">
        <f aca="false">IF(A489="","",IF(N489=Settings!$B$17,"No","Yes"))</f>
        <v/>
      </c>
      <c r="P489" s="35" t="n">
        <f aca="false">IF(O489="Yes",ROUND(L489*M489,2),0)</f>
        <v>0</v>
      </c>
      <c r="Q489" s="35" t="n">
        <f aca="false">IF(O489="No",ROUND(L489*M489/2,2),0)</f>
        <v>0</v>
      </c>
      <c r="R489" s="35" t="n">
        <f aca="false">Q489</f>
        <v>0</v>
      </c>
      <c r="S489" s="35" t="n">
        <f aca="false">L489+P489+Q489+R489</f>
        <v>0</v>
      </c>
      <c r="T489" s="34" t="str">
        <f aca="false">IF(A489="","",IFERROR(INDEX(Customers!$B$5:$B$204,MATCH(C489,Customers!$A$5:$A$204,0))&amp;"",""))</f>
        <v/>
      </c>
      <c r="U489" s="38" t="str">
        <f aca="false">IF(A489="","",IF(T489&lt;&gt;"","B2B",IF(AND(O489="Yes",SUMIF($A$5:$A$1004,A489,$L$5:$L$1004)+SUMIF($A$5:$A$1004,A489,$P$5:$P$1004)&gt;100000),"B2CL","B2CS")))</f>
        <v/>
      </c>
      <c r="V489" s="17" t="str">
        <f aca="false">IF(A489="","",TEXT(B489,"mmm-yyyy"))</f>
        <v/>
      </c>
    </row>
    <row r="490" customFormat="false" ht="15" hidden="false" customHeight="true" outlineLevel="0" collapsed="false">
      <c r="A490" s="24"/>
      <c r="B490" s="39"/>
      <c r="C490" s="24"/>
      <c r="D490" s="24"/>
      <c r="E490" s="40"/>
      <c r="F490" s="29"/>
      <c r="G490" s="30"/>
      <c r="H490" s="17" t="str">
        <f aca="false">IF(A490="","",A490&amp;"|"&amp;COUNTIF(A$5:A490,A490))</f>
        <v/>
      </c>
      <c r="I490" s="33" t="str">
        <f aca="false">IF(A490="","",IFERROR(INDEX(Items!$B$5:$B$304,MATCH(D490,Items!$A$5:$A$304,0))&amp;"",""))</f>
        <v/>
      </c>
      <c r="J490" s="34" t="str">
        <f aca="false">IF(A490="","",IFERROR(INDEX(Items!$C$5:$C$304,MATCH(D490,Items!$A$5:$A$304,0))&amp;"",""))</f>
        <v/>
      </c>
      <c r="K490" s="35" t="n">
        <f aca="false">IF(A490="",0,IF(ISNUMBER(F490),F490,IFERROR(INDEX(Items!$D$5:$D$304,MATCH(D490,Items!$A$5:$A$304,0)),0)))</f>
        <v>0</v>
      </c>
      <c r="L490" s="35" t="n">
        <f aca="false">ROUND(N(E490)*K490*(1-N(G490)),2)</f>
        <v>0</v>
      </c>
      <c r="M490" s="36" t="n">
        <f aca="false">IF(A490="",0,IFERROR(INDEX(Items!$E$5:$E$304,MATCH(D490,Items!$A$5:$A$304,0)),0))</f>
        <v>0</v>
      </c>
      <c r="N490" s="37" t="str">
        <f aca="false">IF(A490="","",IFERROR(INDEX(Customers!$E$5:$E$204,MATCH(C490,Customers!$A$5:$A$204,0)),"?"))</f>
        <v/>
      </c>
      <c r="O490" s="38" t="str">
        <f aca="false">IF(A490="","",IF(N490=Settings!$B$17,"No","Yes"))</f>
        <v/>
      </c>
      <c r="P490" s="35" t="n">
        <f aca="false">IF(O490="Yes",ROUND(L490*M490,2),0)</f>
        <v>0</v>
      </c>
      <c r="Q490" s="35" t="n">
        <f aca="false">IF(O490="No",ROUND(L490*M490/2,2),0)</f>
        <v>0</v>
      </c>
      <c r="R490" s="35" t="n">
        <f aca="false">Q490</f>
        <v>0</v>
      </c>
      <c r="S490" s="35" t="n">
        <f aca="false">L490+P490+Q490+R490</f>
        <v>0</v>
      </c>
      <c r="T490" s="34" t="str">
        <f aca="false">IF(A490="","",IFERROR(INDEX(Customers!$B$5:$B$204,MATCH(C490,Customers!$A$5:$A$204,0))&amp;"",""))</f>
        <v/>
      </c>
      <c r="U490" s="38" t="str">
        <f aca="false">IF(A490="","",IF(T490&lt;&gt;"","B2B",IF(AND(O490="Yes",SUMIF($A$5:$A$1004,A490,$L$5:$L$1004)+SUMIF($A$5:$A$1004,A490,$P$5:$P$1004)&gt;100000),"B2CL","B2CS")))</f>
        <v/>
      </c>
      <c r="V490" s="17" t="str">
        <f aca="false">IF(A490="","",TEXT(B490,"mmm-yyyy"))</f>
        <v/>
      </c>
    </row>
    <row r="491" customFormat="false" ht="15" hidden="false" customHeight="true" outlineLevel="0" collapsed="false">
      <c r="A491" s="24"/>
      <c r="B491" s="39"/>
      <c r="C491" s="24"/>
      <c r="D491" s="24"/>
      <c r="E491" s="40"/>
      <c r="F491" s="29"/>
      <c r="G491" s="30"/>
      <c r="H491" s="17" t="str">
        <f aca="false">IF(A491="","",A491&amp;"|"&amp;COUNTIF(A$5:A491,A491))</f>
        <v/>
      </c>
      <c r="I491" s="33" t="str">
        <f aca="false">IF(A491="","",IFERROR(INDEX(Items!$B$5:$B$304,MATCH(D491,Items!$A$5:$A$304,0))&amp;"",""))</f>
        <v/>
      </c>
      <c r="J491" s="34" t="str">
        <f aca="false">IF(A491="","",IFERROR(INDEX(Items!$C$5:$C$304,MATCH(D491,Items!$A$5:$A$304,0))&amp;"",""))</f>
        <v/>
      </c>
      <c r="K491" s="35" t="n">
        <f aca="false">IF(A491="",0,IF(ISNUMBER(F491),F491,IFERROR(INDEX(Items!$D$5:$D$304,MATCH(D491,Items!$A$5:$A$304,0)),0)))</f>
        <v>0</v>
      </c>
      <c r="L491" s="35" t="n">
        <f aca="false">ROUND(N(E491)*K491*(1-N(G491)),2)</f>
        <v>0</v>
      </c>
      <c r="M491" s="36" t="n">
        <f aca="false">IF(A491="",0,IFERROR(INDEX(Items!$E$5:$E$304,MATCH(D491,Items!$A$5:$A$304,0)),0))</f>
        <v>0</v>
      </c>
      <c r="N491" s="37" t="str">
        <f aca="false">IF(A491="","",IFERROR(INDEX(Customers!$E$5:$E$204,MATCH(C491,Customers!$A$5:$A$204,0)),"?"))</f>
        <v/>
      </c>
      <c r="O491" s="38" t="str">
        <f aca="false">IF(A491="","",IF(N491=Settings!$B$17,"No","Yes"))</f>
        <v/>
      </c>
      <c r="P491" s="35" t="n">
        <f aca="false">IF(O491="Yes",ROUND(L491*M491,2),0)</f>
        <v>0</v>
      </c>
      <c r="Q491" s="35" t="n">
        <f aca="false">IF(O491="No",ROUND(L491*M491/2,2),0)</f>
        <v>0</v>
      </c>
      <c r="R491" s="35" t="n">
        <f aca="false">Q491</f>
        <v>0</v>
      </c>
      <c r="S491" s="35" t="n">
        <f aca="false">L491+P491+Q491+R491</f>
        <v>0</v>
      </c>
      <c r="T491" s="34" t="str">
        <f aca="false">IF(A491="","",IFERROR(INDEX(Customers!$B$5:$B$204,MATCH(C491,Customers!$A$5:$A$204,0))&amp;"",""))</f>
        <v/>
      </c>
      <c r="U491" s="38" t="str">
        <f aca="false">IF(A491="","",IF(T491&lt;&gt;"","B2B",IF(AND(O491="Yes",SUMIF($A$5:$A$1004,A491,$L$5:$L$1004)+SUMIF($A$5:$A$1004,A491,$P$5:$P$1004)&gt;100000),"B2CL","B2CS")))</f>
        <v/>
      </c>
      <c r="V491" s="17" t="str">
        <f aca="false">IF(A491="","",TEXT(B491,"mmm-yyyy"))</f>
        <v/>
      </c>
    </row>
    <row r="492" customFormat="false" ht="15" hidden="false" customHeight="true" outlineLevel="0" collapsed="false">
      <c r="A492" s="24"/>
      <c r="B492" s="39"/>
      <c r="C492" s="24"/>
      <c r="D492" s="24"/>
      <c r="E492" s="40"/>
      <c r="F492" s="29"/>
      <c r="G492" s="30"/>
      <c r="H492" s="17" t="str">
        <f aca="false">IF(A492="","",A492&amp;"|"&amp;COUNTIF(A$5:A492,A492))</f>
        <v/>
      </c>
      <c r="I492" s="33" t="str">
        <f aca="false">IF(A492="","",IFERROR(INDEX(Items!$B$5:$B$304,MATCH(D492,Items!$A$5:$A$304,0))&amp;"",""))</f>
        <v/>
      </c>
      <c r="J492" s="34" t="str">
        <f aca="false">IF(A492="","",IFERROR(INDEX(Items!$C$5:$C$304,MATCH(D492,Items!$A$5:$A$304,0))&amp;"",""))</f>
        <v/>
      </c>
      <c r="K492" s="35" t="n">
        <f aca="false">IF(A492="",0,IF(ISNUMBER(F492),F492,IFERROR(INDEX(Items!$D$5:$D$304,MATCH(D492,Items!$A$5:$A$304,0)),0)))</f>
        <v>0</v>
      </c>
      <c r="L492" s="35" t="n">
        <f aca="false">ROUND(N(E492)*K492*(1-N(G492)),2)</f>
        <v>0</v>
      </c>
      <c r="M492" s="36" t="n">
        <f aca="false">IF(A492="",0,IFERROR(INDEX(Items!$E$5:$E$304,MATCH(D492,Items!$A$5:$A$304,0)),0))</f>
        <v>0</v>
      </c>
      <c r="N492" s="37" t="str">
        <f aca="false">IF(A492="","",IFERROR(INDEX(Customers!$E$5:$E$204,MATCH(C492,Customers!$A$5:$A$204,0)),"?"))</f>
        <v/>
      </c>
      <c r="O492" s="38" t="str">
        <f aca="false">IF(A492="","",IF(N492=Settings!$B$17,"No","Yes"))</f>
        <v/>
      </c>
      <c r="P492" s="35" t="n">
        <f aca="false">IF(O492="Yes",ROUND(L492*M492,2),0)</f>
        <v>0</v>
      </c>
      <c r="Q492" s="35" t="n">
        <f aca="false">IF(O492="No",ROUND(L492*M492/2,2),0)</f>
        <v>0</v>
      </c>
      <c r="R492" s="35" t="n">
        <f aca="false">Q492</f>
        <v>0</v>
      </c>
      <c r="S492" s="35" t="n">
        <f aca="false">L492+P492+Q492+R492</f>
        <v>0</v>
      </c>
      <c r="T492" s="34" t="str">
        <f aca="false">IF(A492="","",IFERROR(INDEX(Customers!$B$5:$B$204,MATCH(C492,Customers!$A$5:$A$204,0))&amp;"",""))</f>
        <v/>
      </c>
      <c r="U492" s="38" t="str">
        <f aca="false">IF(A492="","",IF(T492&lt;&gt;"","B2B",IF(AND(O492="Yes",SUMIF($A$5:$A$1004,A492,$L$5:$L$1004)+SUMIF($A$5:$A$1004,A492,$P$5:$P$1004)&gt;100000),"B2CL","B2CS")))</f>
        <v/>
      </c>
      <c r="V492" s="17" t="str">
        <f aca="false">IF(A492="","",TEXT(B492,"mmm-yyyy"))</f>
        <v/>
      </c>
    </row>
    <row r="493" customFormat="false" ht="15" hidden="false" customHeight="true" outlineLevel="0" collapsed="false">
      <c r="A493" s="24"/>
      <c r="B493" s="39"/>
      <c r="C493" s="24"/>
      <c r="D493" s="24"/>
      <c r="E493" s="40"/>
      <c r="F493" s="29"/>
      <c r="G493" s="30"/>
      <c r="H493" s="17" t="str">
        <f aca="false">IF(A493="","",A493&amp;"|"&amp;COUNTIF(A$5:A493,A493))</f>
        <v/>
      </c>
      <c r="I493" s="33" t="str">
        <f aca="false">IF(A493="","",IFERROR(INDEX(Items!$B$5:$B$304,MATCH(D493,Items!$A$5:$A$304,0))&amp;"",""))</f>
        <v/>
      </c>
      <c r="J493" s="34" t="str">
        <f aca="false">IF(A493="","",IFERROR(INDEX(Items!$C$5:$C$304,MATCH(D493,Items!$A$5:$A$304,0))&amp;"",""))</f>
        <v/>
      </c>
      <c r="K493" s="35" t="n">
        <f aca="false">IF(A493="",0,IF(ISNUMBER(F493),F493,IFERROR(INDEX(Items!$D$5:$D$304,MATCH(D493,Items!$A$5:$A$304,0)),0)))</f>
        <v>0</v>
      </c>
      <c r="L493" s="35" t="n">
        <f aca="false">ROUND(N(E493)*K493*(1-N(G493)),2)</f>
        <v>0</v>
      </c>
      <c r="M493" s="36" t="n">
        <f aca="false">IF(A493="",0,IFERROR(INDEX(Items!$E$5:$E$304,MATCH(D493,Items!$A$5:$A$304,0)),0))</f>
        <v>0</v>
      </c>
      <c r="N493" s="37" t="str">
        <f aca="false">IF(A493="","",IFERROR(INDEX(Customers!$E$5:$E$204,MATCH(C493,Customers!$A$5:$A$204,0)),"?"))</f>
        <v/>
      </c>
      <c r="O493" s="38" t="str">
        <f aca="false">IF(A493="","",IF(N493=Settings!$B$17,"No","Yes"))</f>
        <v/>
      </c>
      <c r="P493" s="35" t="n">
        <f aca="false">IF(O493="Yes",ROUND(L493*M493,2),0)</f>
        <v>0</v>
      </c>
      <c r="Q493" s="35" t="n">
        <f aca="false">IF(O493="No",ROUND(L493*M493/2,2),0)</f>
        <v>0</v>
      </c>
      <c r="R493" s="35" t="n">
        <f aca="false">Q493</f>
        <v>0</v>
      </c>
      <c r="S493" s="35" t="n">
        <f aca="false">L493+P493+Q493+R493</f>
        <v>0</v>
      </c>
      <c r="T493" s="34" t="str">
        <f aca="false">IF(A493="","",IFERROR(INDEX(Customers!$B$5:$B$204,MATCH(C493,Customers!$A$5:$A$204,0))&amp;"",""))</f>
        <v/>
      </c>
      <c r="U493" s="38" t="str">
        <f aca="false">IF(A493="","",IF(T493&lt;&gt;"","B2B",IF(AND(O493="Yes",SUMIF($A$5:$A$1004,A493,$L$5:$L$1004)+SUMIF($A$5:$A$1004,A493,$P$5:$P$1004)&gt;100000),"B2CL","B2CS")))</f>
        <v/>
      </c>
      <c r="V493" s="17" t="str">
        <f aca="false">IF(A493="","",TEXT(B493,"mmm-yyyy"))</f>
        <v/>
      </c>
    </row>
    <row r="494" customFormat="false" ht="15" hidden="false" customHeight="true" outlineLevel="0" collapsed="false">
      <c r="A494" s="24"/>
      <c r="B494" s="39"/>
      <c r="C494" s="24"/>
      <c r="D494" s="24"/>
      <c r="E494" s="40"/>
      <c r="F494" s="29"/>
      <c r="G494" s="30"/>
      <c r="H494" s="17" t="str">
        <f aca="false">IF(A494="","",A494&amp;"|"&amp;COUNTIF(A$5:A494,A494))</f>
        <v/>
      </c>
      <c r="I494" s="33" t="str">
        <f aca="false">IF(A494="","",IFERROR(INDEX(Items!$B$5:$B$304,MATCH(D494,Items!$A$5:$A$304,0))&amp;"",""))</f>
        <v/>
      </c>
      <c r="J494" s="34" t="str">
        <f aca="false">IF(A494="","",IFERROR(INDEX(Items!$C$5:$C$304,MATCH(D494,Items!$A$5:$A$304,0))&amp;"",""))</f>
        <v/>
      </c>
      <c r="K494" s="35" t="n">
        <f aca="false">IF(A494="",0,IF(ISNUMBER(F494),F494,IFERROR(INDEX(Items!$D$5:$D$304,MATCH(D494,Items!$A$5:$A$304,0)),0)))</f>
        <v>0</v>
      </c>
      <c r="L494" s="35" t="n">
        <f aca="false">ROUND(N(E494)*K494*(1-N(G494)),2)</f>
        <v>0</v>
      </c>
      <c r="M494" s="36" t="n">
        <f aca="false">IF(A494="",0,IFERROR(INDEX(Items!$E$5:$E$304,MATCH(D494,Items!$A$5:$A$304,0)),0))</f>
        <v>0</v>
      </c>
      <c r="N494" s="37" t="str">
        <f aca="false">IF(A494="","",IFERROR(INDEX(Customers!$E$5:$E$204,MATCH(C494,Customers!$A$5:$A$204,0)),"?"))</f>
        <v/>
      </c>
      <c r="O494" s="38" t="str">
        <f aca="false">IF(A494="","",IF(N494=Settings!$B$17,"No","Yes"))</f>
        <v/>
      </c>
      <c r="P494" s="35" t="n">
        <f aca="false">IF(O494="Yes",ROUND(L494*M494,2),0)</f>
        <v>0</v>
      </c>
      <c r="Q494" s="35" t="n">
        <f aca="false">IF(O494="No",ROUND(L494*M494/2,2),0)</f>
        <v>0</v>
      </c>
      <c r="R494" s="35" t="n">
        <f aca="false">Q494</f>
        <v>0</v>
      </c>
      <c r="S494" s="35" t="n">
        <f aca="false">L494+P494+Q494+R494</f>
        <v>0</v>
      </c>
      <c r="T494" s="34" t="str">
        <f aca="false">IF(A494="","",IFERROR(INDEX(Customers!$B$5:$B$204,MATCH(C494,Customers!$A$5:$A$204,0))&amp;"",""))</f>
        <v/>
      </c>
      <c r="U494" s="38" t="str">
        <f aca="false">IF(A494="","",IF(T494&lt;&gt;"","B2B",IF(AND(O494="Yes",SUMIF($A$5:$A$1004,A494,$L$5:$L$1004)+SUMIF($A$5:$A$1004,A494,$P$5:$P$1004)&gt;100000),"B2CL","B2CS")))</f>
        <v/>
      </c>
      <c r="V494" s="17" t="str">
        <f aca="false">IF(A494="","",TEXT(B494,"mmm-yyyy"))</f>
        <v/>
      </c>
    </row>
    <row r="495" customFormat="false" ht="15" hidden="false" customHeight="true" outlineLevel="0" collapsed="false">
      <c r="A495" s="24"/>
      <c r="B495" s="39"/>
      <c r="C495" s="24"/>
      <c r="D495" s="24"/>
      <c r="E495" s="40"/>
      <c r="F495" s="29"/>
      <c r="G495" s="30"/>
      <c r="H495" s="17" t="str">
        <f aca="false">IF(A495="","",A495&amp;"|"&amp;COUNTIF(A$5:A495,A495))</f>
        <v/>
      </c>
      <c r="I495" s="33" t="str">
        <f aca="false">IF(A495="","",IFERROR(INDEX(Items!$B$5:$B$304,MATCH(D495,Items!$A$5:$A$304,0))&amp;"",""))</f>
        <v/>
      </c>
      <c r="J495" s="34" t="str">
        <f aca="false">IF(A495="","",IFERROR(INDEX(Items!$C$5:$C$304,MATCH(D495,Items!$A$5:$A$304,0))&amp;"",""))</f>
        <v/>
      </c>
      <c r="K495" s="35" t="n">
        <f aca="false">IF(A495="",0,IF(ISNUMBER(F495),F495,IFERROR(INDEX(Items!$D$5:$D$304,MATCH(D495,Items!$A$5:$A$304,0)),0)))</f>
        <v>0</v>
      </c>
      <c r="L495" s="35" t="n">
        <f aca="false">ROUND(N(E495)*K495*(1-N(G495)),2)</f>
        <v>0</v>
      </c>
      <c r="M495" s="36" t="n">
        <f aca="false">IF(A495="",0,IFERROR(INDEX(Items!$E$5:$E$304,MATCH(D495,Items!$A$5:$A$304,0)),0))</f>
        <v>0</v>
      </c>
      <c r="N495" s="37" t="str">
        <f aca="false">IF(A495="","",IFERROR(INDEX(Customers!$E$5:$E$204,MATCH(C495,Customers!$A$5:$A$204,0)),"?"))</f>
        <v/>
      </c>
      <c r="O495" s="38" t="str">
        <f aca="false">IF(A495="","",IF(N495=Settings!$B$17,"No","Yes"))</f>
        <v/>
      </c>
      <c r="P495" s="35" t="n">
        <f aca="false">IF(O495="Yes",ROUND(L495*M495,2),0)</f>
        <v>0</v>
      </c>
      <c r="Q495" s="35" t="n">
        <f aca="false">IF(O495="No",ROUND(L495*M495/2,2),0)</f>
        <v>0</v>
      </c>
      <c r="R495" s="35" t="n">
        <f aca="false">Q495</f>
        <v>0</v>
      </c>
      <c r="S495" s="35" t="n">
        <f aca="false">L495+P495+Q495+R495</f>
        <v>0</v>
      </c>
      <c r="T495" s="34" t="str">
        <f aca="false">IF(A495="","",IFERROR(INDEX(Customers!$B$5:$B$204,MATCH(C495,Customers!$A$5:$A$204,0))&amp;"",""))</f>
        <v/>
      </c>
      <c r="U495" s="38" t="str">
        <f aca="false">IF(A495="","",IF(T495&lt;&gt;"","B2B",IF(AND(O495="Yes",SUMIF($A$5:$A$1004,A495,$L$5:$L$1004)+SUMIF($A$5:$A$1004,A495,$P$5:$P$1004)&gt;100000),"B2CL","B2CS")))</f>
        <v/>
      </c>
      <c r="V495" s="17" t="str">
        <f aca="false">IF(A495="","",TEXT(B495,"mmm-yyyy"))</f>
        <v/>
      </c>
    </row>
    <row r="496" customFormat="false" ht="15" hidden="false" customHeight="true" outlineLevel="0" collapsed="false">
      <c r="A496" s="24"/>
      <c r="B496" s="39"/>
      <c r="C496" s="24"/>
      <c r="D496" s="24"/>
      <c r="E496" s="40"/>
      <c r="F496" s="29"/>
      <c r="G496" s="30"/>
      <c r="H496" s="17" t="str">
        <f aca="false">IF(A496="","",A496&amp;"|"&amp;COUNTIF(A$5:A496,A496))</f>
        <v/>
      </c>
      <c r="I496" s="33" t="str">
        <f aca="false">IF(A496="","",IFERROR(INDEX(Items!$B$5:$B$304,MATCH(D496,Items!$A$5:$A$304,0))&amp;"",""))</f>
        <v/>
      </c>
      <c r="J496" s="34" t="str">
        <f aca="false">IF(A496="","",IFERROR(INDEX(Items!$C$5:$C$304,MATCH(D496,Items!$A$5:$A$304,0))&amp;"",""))</f>
        <v/>
      </c>
      <c r="K496" s="35" t="n">
        <f aca="false">IF(A496="",0,IF(ISNUMBER(F496),F496,IFERROR(INDEX(Items!$D$5:$D$304,MATCH(D496,Items!$A$5:$A$304,0)),0)))</f>
        <v>0</v>
      </c>
      <c r="L496" s="35" t="n">
        <f aca="false">ROUND(N(E496)*K496*(1-N(G496)),2)</f>
        <v>0</v>
      </c>
      <c r="M496" s="36" t="n">
        <f aca="false">IF(A496="",0,IFERROR(INDEX(Items!$E$5:$E$304,MATCH(D496,Items!$A$5:$A$304,0)),0))</f>
        <v>0</v>
      </c>
      <c r="N496" s="37" t="str">
        <f aca="false">IF(A496="","",IFERROR(INDEX(Customers!$E$5:$E$204,MATCH(C496,Customers!$A$5:$A$204,0)),"?"))</f>
        <v/>
      </c>
      <c r="O496" s="38" t="str">
        <f aca="false">IF(A496="","",IF(N496=Settings!$B$17,"No","Yes"))</f>
        <v/>
      </c>
      <c r="P496" s="35" t="n">
        <f aca="false">IF(O496="Yes",ROUND(L496*M496,2),0)</f>
        <v>0</v>
      </c>
      <c r="Q496" s="35" t="n">
        <f aca="false">IF(O496="No",ROUND(L496*M496/2,2),0)</f>
        <v>0</v>
      </c>
      <c r="R496" s="35" t="n">
        <f aca="false">Q496</f>
        <v>0</v>
      </c>
      <c r="S496" s="35" t="n">
        <f aca="false">L496+P496+Q496+R496</f>
        <v>0</v>
      </c>
      <c r="T496" s="34" t="str">
        <f aca="false">IF(A496="","",IFERROR(INDEX(Customers!$B$5:$B$204,MATCH(C496,Customers!$A$5:$A$204,0))&amp;"",""))</f>
        <v/>
      </c>
      <c r="U496" s="38" t="str">
        <f aca="false">IF(A496="","",IF(T496&lt;&gt;"","B2B",IF(AND(O496="Yes",SUMIF($A$5:$A$1004,A496,$L$5:$L$1004)+SUMIF($A$5:$A$1004,A496,$P$5:$P$1004)&gt;100000),"B2CL","B2CS")))</f>
        <v/>
      </c>
      <c r="V496" s="17" t="str">
        <f aca="false">IF(A496="","",TEXT(B496,"mmm-yyyy"))</f>
        <v/>
      </c>
    </row>
    <row r="497" customFormat="false" ht="15" hidden="false" customHeight="true" outlineLevel="0" collapsed="false">
      <c r="A497" s="24"/>
      <c r="B497" s="39"/>
      <c r="C497" s="24"/>
      <c r="D497" s="24"/>
      <c r="E497" s="40"/>
      <c r="F497" s="29"/>
      <c r="G497" s="30"/>
      <c r="H497" s="17" t="str">
        <f aca="false">IF(A497="","",A497&amp;"|"&amp;COUNTIF(A$5:A497,A497))</f>
        <v/>
      </c>
      <c r="I497" s="33" t="str">
        <f aca="false">IF(A497="","",IFERROR(INDEX(Items!$B$5:$B$304,MATCH(D497,Items!$A$5:$A$304,0))&amp;"",""))</f>
        <v/>
      </c>
      <c r="J497" s="34" t="str">
        <f aca="false">IF(A497="","",IFERROR(INDEX(Items!$C$5:$C$304,MATCH(D497,Items!$A$5:$A$304,0))&amp;"",""))</f>
        <v/>
      </c>
      <c r="K497" s="35" t="n">
        <f aca="false">IF(A497="",0,IF(ISNUMBER(F497),F497,IFERROR(INDEX(Items!$D$5:$D$304,MATCH(D497,Items!$A$5:$A$304,0)),0)))</f>
        <v>0</v>
      </c>
      <c r="L497" s="35" t="n">
        <f aca="false">ROUND(N(E497)*K497*(1-N(G497)),2)</f>
        <v>0</v>
      </c>
      <c r="M497" s="36" t="n">
        <f aca="false">IF(A497="",0,IFERROR(INDEX(Items!$E$5:$E$304,MATCH(D497,Items!$A$5:$A$304,0)),0))</f>
        <v>0</v>
      </c>
      <c r="N497" s="37" t="str">
        <f aca="false">IF(A497="","",IFERROR(INDEX(Customers!$E$5:$E$204,MATCH(C497,Customers!$A$5:$A$204,0)),"?"))</f>
        <v/>
      </c>
      <c r="O497" s="38" t="str">
        <f aca="false">IF(A497="","",IF(N497=Settings!$B$17,"No","Yes"))</f>
        <v/>
      </c>
      <c r="P497" s="35" t="n">
        <f aca="false">IF(O497="Yes",ROUND(L497*M497,2),0)</f>
        <v>0</v>
      </c>
      <c r="Q497" s="35" t="n">
        <f aca="false">IF(O497="No",ROUND(L497*M497/2,2),0)</f>
        <v>0</v>
      </c>
      <c r="R497" s="35" t="n">
        <f aca="false">Q497</f>
        <v>0</v>
      </c>
      <c r="S497" s="35" t="n">
        <f aca="false">L497+P497+Q497+R497</f>
        <v>0</v>
      </c>
      <c r="T497" s="34" t="str">
        <f aca="false">IF(A497="","",IFERROR(INDEX(Customers!$B$5:$B$204,MATCH(C497,Customers!$A$5:$A$204,0))&amp;"",""))</f>
        <v/>
      </c>
      <c r="U497" s="38" t="str">
        <f aca="false">IF(A497="","",IF(T497&lt;&gt;"","B2B",IF(AND(O497="Yes",SUMIF($A$5:$A$1004,A497,$L$5:$L$1004)+SUMIF($A$5:$A$1004,A497,$P$5:$P$1004)&gt;100000),"B2CL","B2CS")))</f>
        <v/>
      </c>
      <c r="V497" s="17" t="str">
        <f aca="false">IF(A497="","",TEXT(B497,"mmm-yyyy"))</f>
        <v/>
      </c>
    </row>
    <row r="498" customFormat="false" ht="15" hidden="false" customHeight="true" outlineLevel="0" collapsed="false">
      <c r="A498" s="24"/>
      <c r="B498" s="39"/>
      <c r="C498" s="24"/>
      <c r="D498" s="24"/>
      <c r="E498" s="40"/>
      <c r="F498" s="29"/>
      <c r="G498" s="30"/>
      <c r="H498" s="17" t="str">
        <f aca="false">IF(A498="","",A498&amp;"|"&amp;COUNTIF(A$5:A498,A498))</f>
        <v/>
      </c>
      <c r="I498" s="33" t="str">
        <f aca="false">IF(A498="","",IFERROR(INDEX(Items!$B$5:$B$304,MATCH(D498,Items!$A$5:$A$304,0))&amp;"",""))</f>
        <v/>
      </c>
      <c r="J498" s="34" t="str">
        <f aca="false">IF(A498="","",IFERROR(INDEX(Items!$C$5:$C$304,MATCH(D498,Items!$A$5:$A$304,0))&amp;"",""))</f>
        <v/>
      </c>
      <c r="K498" s="35" t="n">
        <f aca="false">IF(A498="",0,IF(ISNUMBER(F498),F498,IFERROR(INDEX(Items!$D$5:$D$304,MATCH(D498,Items!$A$5:$A$304,0)),0)))</f>
        <v>0</v>
      </c>
      <c r="L498" s="35" t="n">
        <f aca="false">ROUND(N(E498)*K498*(1-N(G498)),2)</f>
        <v>0</v>
      </c>
      <c r="M498" s="36" t="n">
        <f aca="false">IF(A498="",0,IFERROR(INDEX(Items!$E$5:$E$304,MATCH(D498,Items!$A$5:$A$304,0)),0))</f>
        <v>0</v>
      </c>
      <c r="N498" s="37" t="str">
        <f aca="false">IF(A498="","",IFERROR(INDEX(Customers!$E$5:$E$204,MATCH(C498,Customers!$A$5:$A$204,0)),"?"))</f>
        <v/>
      </c>
      <c r="O498" s="38" t="str">
        <f aca="false">IF(A498="","",IF(N498=Settings!$B$17,"No","Yes"))</f>
        <v/>
      </c>
      <c r="P498" s="35" t="n">
        <f aca="false">IF(O498="Yes",ROUND(L498*M498,2),0)</f>
        <v>0</v>
      </c>
      <c r="Q498" s="35" t="n">
        <f aca="false">IF(O498="No",ROUND(L498*M498/2,2),0)</f>
        <v>0</v>
      </c>
      <c r="R498" s="35" t="n">
        <f aca="false">Q498</f>
        <v>0</v>
      </c>
      <c r="S498" s="35" t="n">
        <f aca="false">L498+P498+Q498+R498</f>
        <v>0</v>
      </c>
      <c r="T498" s="34" t="str">
        <f aca="false">IF(A498="","",IFERROR(INDEX(Customers!$B$5:$B$204,MATCH(C498,Customers!$A$5:$A$204,0))&amp;"",""))</f>
        <v/>
      </c>
      <c r="U498" s="38" t="str">
        <f aca="false">IF(A498="","",IF(T498&lt;&gt;"","B2B",IF(AND(O498="Yes",SUMIF($A$5:$A$1004,A498,$L$5:$L$1004)+SUMIF($A$5:$A$1004,A498,$P$5:$P$1004)&gt;100000),"B2CL","B2CS")))</f>
        <v/>
      </c>
      <c r="V498" s="17" t="str">
        <f aca="false">IF(A498="","",TEXT(B498,"mmm-yyyy"))</f>
        <v/>
      </c>
    </row>
    <row r="499" customFormat="false" ht="15" hidden="false" customHeight="true" outlineLevel="0" collapsed="false">
      <c r="A499" s="24"/>
      <c r="B499" s="39"/>
      <c r="C499" s="24"/>
      <c r="D499" s="24"/>
      <c r="E499" s="40"/>
      <c r="F499" s="29"/>
      <c r="G499" s="30"/>
      <c r="H499" s="17" t="str">
        <f aca="false">IF(A499="","",A499&amp;"|"&amp;COUNTIF(A$5:A499,A499))</f>
        <v/>
      </c>
      <c r="I499" s="33" t="str">
        <f aca="false">IF(A499="","",IFERROR(INDEX(Items!$B$5:$B$304,MATCH(D499,Items!$A$5:$A$304,0))&amp;"",""))</f>
        <v/>
      </c>
      <c r="J499" s="34" t="str">
        <f aca="false">IF(A499="","",IFERROR(INDEX(Items!$C$5:$C$304,MATCH(D499,Items!$A$5:$A$304,0))&amp;"",""))</f>
        <v/>
      </c>
      <c r="K499" s="35" t="n">
        <f aca="false">IF(A499="",0,IF(ISNUMBER(F499),F499,IFERROR(INDEX(Items!$D$5:$D$304,MATCH(D499,Items!$A$5:$A$304,0)),0)))</f>
        <v>0</v>
      </c>
      <c r="L499" s="35" t="n">
        <f aca="false">ROUND(N(E499)*K499*(1-N(G499)),2)</f>
        <v>0</v>
      </c>
      <c r="M499" s="36" t="n">
        <f aca="false">IF(A499="",0,IFERROR(INDEX(Items!$E$5:$E$304,MATCH(D499,Items!$A$5:$A$304,0)),0))</f>
        <v>0</v>
      </c>
      <c r="N499" s="37" t="str">
        <f aca="false">IF(A499="","",IFERROR(INDEX(Customers!$E$5:$E$204,MATCH(C499,Customers!$A$5:$A$204,0)),"?"))</f>
        <v/>
      </c>
      <c r="O499" s="38" t="str">
        <f aca="false">IF(A499="","",IF(N499=Settings!$B$17,"No","Yes"))</f>
        <v/>
      </c>
      <c r="P499" s="35" t="n">
        <f aca="false">IF(O499="Yes",ROUND(L499*M499,2),0)</f>
        <v>0</v>
      </c>
      <c r="Q499" s="35" t="n">
        <f aca="false">IF(O499="No",ROUND(L499*M499/2,2),0)</f>
        <v>0</v>
      </c>
      <c r="R499" s="35" t="n">
        <f aca="false">Q499</f>
        <v>0</v>
      </c>
      <c r="S499" s="35" t="n">
        <f aca="false">L499+P499+Q499+R499</f>
        <v>0</v>
      </c>
      <c r="T499" s="34" t="str">
        <f aca="false">IF(A499="","",IFERROR(INDEX(Customers!$B$5:$B$204,MATCH(C499,Customers!$A$5:$A$204,0))&amp;"",""))</f>
        <v/>
      </c>
      <c r="U499" s="38" t="str">
        <f aca="false">IF(A499="","",IF(T499&lt;&gt;"","B2B",IF(AND(O499="Yes",SUMIF($A$5:$A$1004,A499,$L$5:$L$1004)+SUMIF($A$5:$A$1004,A499,$P$5:$P$1004)&gt;100000),"B2CL","B2CS")))</f>
        <v/>
      </c>
      <c r="V499" s="17" t="str">
        <f aca="false">IF(A499="","",TEXT(B499,"mmm-yyyy"))</f>
        <v/>
      </c>
    </row>
    <row r="500" customFormat="false" ht="15" hidden="false" customHeight="true" outlineLevel="0" collapsed="false">
      <c r="A500" s="24"/>
      <c r="B500" s="39"/>
      <c r="C500" s="24"/>
      <c r="D500" s="24"/>
      <c r="E500" s="40"/>
      <c r="F500" s="29"/>
      <c r="G500" s="30"/>
      <c r="H500" s="17" t="str">
        <f aca="false">IF(A500="","",A500&amp;"|"&amp;COUNTIF(A$5:A500,A500))</f>
        <v/>
      </c>
      <c r="I500" s="33" t="str">
        <f aca="false">IF(A500="","",IFERROR(INDEX(Items!$B$5:$B$304,MATCH(D500,Items!$A$5:$A$304,0))&amp;"",""))</f>
        <v/>
      </c>
      <c r="J500" s="34" t="str">
        <f aca="false">IF(A500="","",IFERROR(INDEX(Items!$C$5:$C$304,MATCH(D500,Items!$A$5:$A$304,0))&amp;"",""))</f>
        <v/>
      </c>
      <c r="K500" s="35" t="n">
        <f aca="false">IF(A500="",0,IF(ISNUMBER(F500),F500,IFERROR(INDEX(Items!$D$5:$D$304,MATCH(D500,Items!$A$5:$A$304,0)),0)))</f>
        <v>0</v>
      </c>
      <c r="L500" s="35" t="n">
        <f aca="false">ROUND(N(E500)*K500*(1-N(G500)),2)</f>
        <v>0</v>
      </c>
      <c r="M500" s="36" t="n">
        <f aca="false">IF(A500="",0,IFERROR(INDEX(Items!$E$5:$E$304,MATCH(D500,Items!$A$5:$A$304,0)),0))</f>
        <v>0</v>
      </c>
      <c r="N500" s="37" t="str">
        <f aca="false">IF(A500="","",IFERROR(INDEX(Customers!$E$5:$E$204,MATCH(C500,Customers!$A$5:$A$204,0)),"?"))</f>
        <v/>
      </c>
      <c r="O500" s="38" t="str">
        <f aca="false">IF(A500="","",IF(N500=Settings!$B$17,"No","Yes"))</f>
        <v/>
      </c>
      <c r="P500" s="35" t="n">
        <f aca="false">IF(O500="Yes",ROUND(L500*M500,2),0)</f>
        <v>0</v>
      </c>
      <c r="Q500" s="35" t="n">
        <f aca="false">IF(O500="No",ROUND(L500*M500/2,2),0)</f>
        <v>0</v>
      </c>
      <c r="R500" s="35" t="n">
        <f aca="false">Q500</f>
        <v>0</v>
      </c>
      <c r="S500" s="35" t="n">
        <f aca="false">L500+P500+Q500+R500</f>
        <v>0</v>
      </c>
      <c r="T500" s="34" t="str">
        <f aca="false">IF(A500="","",IFERROR(INDEX(Customers!$B$5:$B$204,MATCH(C500,Customers!$A$5:$A$204,0))&amp;"",""))</f>
        <v/>
      </c>
      <c r="U500" s="38" t="str">
        <f aca="false">IF(A500="","",IF(T500&lt;&gt;"","B2B",IF(AND(O500="Yes",SUMIF($A$5:$A$1004,A500,$L$5:$L$1004)+SUMIF($A$5:$A$1004,A500,$P$5:$P$1004)&gt;100000),"B2CL","B2CS")))</f>
        <v/>
      </c>
      <c r="V500" s="17" t="str">
        <f aca="false">IF(A500="","",TEXT(B500,"mmm-yyyy"))</f>
        <v/>
      </c>
    </row>
    <row r="501" customFormat="false" ht="15" hidden="false" customHeight="true" outlineLevel="0" collapsed="false">
      <c r="A501" s="24"/>
      <c r="B501" s="39"/>
      <c r="C501" s="24"/>
      <c r="D501" s="24"/>
      <c r="E501" s="40"/>
      <c r="F501" s="29"/>
      <c r="G501" s="30"/>
      <c r="H501" s="17" t="str">
        <f aca="false">IF(A501="","",A501&amp;"|"&amp;COUNTIF(A$5:A501,A501))</f>
        <v/>
      </c>
      <c r="I501" s="33" t="str">
        <f aca="false">IF(A501="","",IFERROR(INDEX(Items!$B$5:$B$304,MATCH(D501,Items!$A$5:$A$304,0))&amp;"",""))</f>
        <v/>
      </c>
      <c r="J501" s="34" t="str">
        <f aca="false">IF(A501="","",IFERROR(INDEX(Items!$C$5:$C$304,MATCH(D501,Items!$A$5:$A$304,0))&amp;"",""))</f>
        <v/>
      </c>
      <c r="K501" s="35" t="n">
        <f aca="false">IF(A501="",0,IF(ISNUMBER(F501),F501,IFERROR(INDEX(Items!$D$5:$D$304,MATCH(D501,Items!$A$5:$A$304,0)),0)))</f>
        <v>0</v>
      </c>
      <c r="L501" s="35" t="n">
        <f aca="false">ROUND(N(E501)*K501*(1-N(G501)),2)</f>
        <v>0</v>
      </c>
      <c r="M501" s="36" t="n">
        <f aca="false">IF(A501="",0,IFERROR(INDEX(Items!$E$5:$E$304,MATCH(D501,Items!$A$5:$A$304,0)),0))</f>
        <v>0</v>
      </c>
      <c r="N501" s="37" t="str">
        <f aca="false">IF(A501="","",IFERROR(INDEX(Customers!$E$5:$E$204,MATCH(C501,Customers!$A$5:$A$204,0)),"?"))</f>
        <v/>
      </c>
      <c r="O501" s="38" t="str">
        <f aca="false">IF(A501="","",IF(N501=Settings!$B$17,"No","Yes"))</f>
        <v/>
      </c>
      <c r="P501" s="35" t="n">
        <f aca="false">IF(O501="Yes",ROUND(L501*M501,2),0)</f>
        <v>0</v>
      </c>
      <c r="Q501" s="35" t="n">
        <f aca="false">IF(O501="No",ROUND(L501*M501/2,2),0)</f>
        <v>0</v>
      </c>
      <c r="R501" s="35" t="n">
        <f aca="false">Q501</f>
        <v>0</v>
      </c>
      <c r="S501" s="35" t="n">
        <f aca="false">L501+P501+Q501+R501</f>
        <v>0</v>
      </c>
      <c r="T501" s="34" t="str">
        <f aca="false">IF(A501="","",IFERROR(INDEX(Customers!$B$5:$B$204,MATCH(C501,Customers!$A$5:$A$204,0))&amp;"",""))</f>
        <v/>
      </c>
      <c r="U501" s="38" t="str">
        <f aca="false">IF(A501="","",IF(T501&lt;&gt;"","B2B",IF(AND(O501="Yes",SUMIF($A$5:$A$1004,A501,$L$5:$L$1004)+SUMIF($A$5:$A$1004,A501,$P$5:$P$1004)&gt;100000),"B2CL","B2CS")))</f>
        <v/>
      </c>
      <c r="V501" s="17" t="str">
        <f aca="false">IF(A501="","",TEXT(B501,"mmm-yyyy"))</f>
        <v/>
      </c>
    </row>
    <row r="502" customFormat="false" ht="15" hidden="false" customHeight="true" outlineLevel="0" collapsed="false">
      <c r="A502" s="24"/>
      <c r="B502" s="39"/>
      <c r="C502" s="24"/>
      <c r="D502" s="24"/>
      <c r="E502" s="40"/>
      <c r="F502" s="29"/>
      <c r="G502" s="30"/>
      <c r="H502" s="17" t="str">
        <f aca="false">IF(A502="","",A502&amp;"|"&amp;COUNTIF(A$5:A502,A502))</f>
        <v/>
      </c>
      <c r="I502" s="33" t="str">
        <f aca="false">IF(A502="","",IFERROR(INDEX(Items!$B$5:$B$304,MATCH(D502,Items!$A$5:$A$304,0))&amp;"",""))</f>
        <v/>
      </c>
      <c r="J502" s="34" t="str">
        <f aca="false">IF(A502="","",IFERROR(INDEX(Items!$C$5:$C$304,MATCH(D502,Items!$A$5:$A$304,0))&amp;"",""))</f>
        <v/>
      </c>
      <c r="K502" s="35" t="n">
        <f aca="false">IF(A502="",0,IF(ISNUMBER(F502),F502,IFERROR(INDEX(Items!$D$5:$D$304,MATCH(D502,Items!$A$5:$A$304,0)),0)))</f>
        <v>0</v>
      </c>
      <c r="L502" s="35" t="n">
        <f aca="false">ROUND(N(E502)*K502*(1-N(G502)),2)</f>
        <v>0</v>
      </c>
      <c r="M502" s="36" t="n">
        <f aca="false">IF(A502="",0,IFERROR(INDEX(Items!$E$5:$E$304,MATCH(D502,Items!$A$5:$A$304,0)),0))</f>
        <v>0</v>
      </c>
      <c r="N502" s="37" t="str">
        <f aca="false">IF(A502="","",IFERROR(INDEX(Customers!$E$5:$E$204,MATCH(C502,Customers!$A$5:$A$204,0)),"?"))</f>
        <v/>
      </c>
      <c r="O502" s="38" t="str">
        <f aca="false">IF(A502="","",IF(N502=Settings!$B$17,"No","Yes"))</f>
        <v/>
      </c>
      <c r="P502" s="35" t="n">
        <f aca="false">IF(O502="Yes",ROUND(L502*M502,2),0)</f>
        <v>0</v>
      </c>
      <c r="Q502" s="35" t="n">
        <f aca="false">IF(O502="No",ROUND(L502*M502/2,2),0)</f>
        <v>0</v>
      </c>
      <c r="R502" s="35" t="n">
        <f aca="false">Q502</f>
        <v>0</v>
      </c>
      <c r="S502" s="35" t="n">
        <f aca="false">L502+P502+Q502+R502</f>
        <v>0</v>
      </c>
      <c r="T502" s="34" t="str">
        <f aca="false">IF(A502="","",IFERROR(INDEX(Customers!$B$5:$B$204,MATCH(C502,Customers!$A$5:$A$204,0))&amp;"",""))</f>
        <v/>
      </c>
      <c r="U502" s="38" t="str">
        <f aca="false">IF(A502="","",IF(T502&lt;&gt;"","B2B",IF(AND(O502="Yes",SUMIF($A$5:$A$1004,A502,$L$5:$L$1004)+SUMIF($A$5:$A$1004,A502,$P$5:$P$1004)&gt;100000),"B2CL","B2CS")))</f>
        <v/>
      </c>
      <c r="V502" s="17" t="str">
        <f aca="false">IF(A502="","",TEXT(B502,"mmm-yyyy"))</f>
        <v/>
      </c>
    </row>
    <row r="503" customFormat="false" ht="15" hidden="false" customHeight="true" outlineLevel="0" collapsed="false">
      <c r="A503" s="24"/>
      <c r="B503" s="39"/>
      <c r="C503" s="24"/>
      <c r="D503" s="24"/>
      <c r="E503" s="40"/>
      <c r="F503" s="29"/>
      <c r="G503" s="30"/>
      <c r="H503" s="17" t="str">
        <f aca="false">IF(A503="","",A503&amp;"|"&amp;COUNTIF(A$5:A503,A503))</f>
        <v/>
      </c>
      <c r="I503" s="33" t="str">
        <f aca="false">IF(A503="","",IFERROR(INDEX(Items!$B$5:$B$304,MATCH(D503,Items!$A$5:$A$304,0))&amp;"",""))</f>
        <v/>
      </c>
      <c r="J503" s="34" t="str">
        <f aca="false">IF(A503="","",IFERROR(INDEX(Items!$C$5:$C$304,MATCH(D503,Items!$A$5:$A$304,0))&amp;"",""))</f>
        <v/>
      </c>
      <c r="K503" s="35" t="n">
        <f aca="false">IF(A503="",0,IF(ISNUMBER(F503),F503,IFERROR(INDEX(Items!$D$5:$D$304,MATCH(D503,Items!$A$5:$A$304,0)),0)))</f>
        <v>0</v>
      </c>
      <c r="L503" s="35" t="n">
        <f aca="false">ROUND(N(E503)*K503*(1-N(G503)),2)</f>
        <v>0</v>
      </c>
      <c r="M503" s="36" t="n">
        <f aca="false">IF(A503="",0,IFERROR(INDEX(Items!$E$5:$E$304,MATCH(D503,Items!$A$5:$A$304,0)),0))</f>
        <v>0</v>
      </c>
      <c r="N503" s="37" t="str">
        <f aca="false">IF(A503="","",IFERROR(INDEX(Customers!$E$5:$E$204,MATCH(C503,Customers!$A$5:$A$204,0)),"?"))</f>
        <v/>
      </c>
      <c r="O503" s="38" t="str">
        <f aca="false">IF(A503="","",IF(N503=Settings!$B$17,"No","Yes"))</f>
        <v/>
      </c>
      <c r="P503" s="35" t="n">
        <f aca="false">IF(O503="Yes",ROUND(L503*M503,2),0)</f>
        <v>0</v>
      </c>
      <c r="Q503" s="35" t="n">
        <f aca="false">IF(O503="No",ROUND(L503*M503/2,2),0)</f>
        <v>0</v>
      </c>
      <c r="R503" s="35" t="n">
        <f aca="false">Q503</f>
        <v>0</v>
      </c>
      <c r="S503" s="35" t="n">
        <f aca="false">L503+P503+Q503+R503</f>
        <v>0</v>
      </c>
      <c r="T503" s="34" t="str">
        <f aca="false">IF(A503="","",IFERROR(INDEX(Customers!$B$5:$B$204,MATCH(C503,Customers!$A$5:$A$204,0))&amp;"",""))</f>
        <v/>
      </c>
      <c r="U503" s="38" t="str">
        <f aca="false">IF(A503="","",IF(T503&lt;&gt;"","B2B",IF(AND(O503="Yes",SUMIF($A$5:$A$1004,A503,$L$5:$L$1004)+SUMIF($A$5:$A$1004,A503,$P$5:$P$1004)&gt;100000),"B2CL","B2CS")))</f>
        <v/>
      </c>
      <c r="V503" s="17" t="str">
        <f aca="false">IF(A503="","",TEXT(B503,"mmm-yyyy"))</f>
        <v/>
      </c>
    </row>
    <row r="504" customFormat="false" ht="15" hidden="false" customHeight="true" outlineLevel="0" collapsed="false">
      <c r="A504" s="24"/>
      <c r="B504" s="39"/>
      <c r="C504" s="24"/>
      <c r="D504" s="24"/>
      <c r="E504" s="40"/>
      <c r="F504" s="29"/>
      <c r="G504" s="30"/>
      <c r="H504" s="17" t="str">
        <f aca="false">IF(A504="","",A504&amp;"|"&amp;COUNTIF(A$5:A504,A504))</f>
        <v/>
      </c>
      <c r="I504" s="33" t="str">
        <f aca="false">IF(A504="","",IFERROR(INDEX(Items!$B$5:$B$304,MATCH(D504,Items!$A$5:$A$304,0))&amp;"",""))</f>
        <v/>
      </c>
      <c r="J504" s="34" t="str">
        <f aca="false">IF(A504="","",IFERROR(INDEX(Items!$C$5:$C$304,MATCH(D504,Items!$A$5:$A$304,0))&amp;"",""))</f>
        <v/>
      </c>
      <c r="K504" s="35" t="n">
        <f aca="false">IF(A504="",0,IF(ISNUMBER(F504),F504,IFERROR(INDEX(Items!$D$5:$D$304,MATCH(D504,Items!$A$5:$A$304,0)),0)))</f>
        <v>0</v>
      </c>
      <c r="L504" s="35" t="n">
        <f aca="false">ROUND(N(E504)*K504*(1-N(G504)),2)</f>
        <v>0</v>
      </c>
      <c r="M504" s="36" t="n">
        <f aca="false">IF(A504="",0,IFERROR(INDEX(Items!$E$5:$E$304,MATCH(D504,Items!$A$5:$A$304,0)),0))</f>
        <v>0</v>
      </c>
      <c r="N504" s="37" t="str">
        <f aca="false">IF(A504="","",IFERROR(INDEX(Customers!$E$5:$E$204,MATCH(C504,Customers!$A$5:$A$204,0)),"?"))</f>
        <v/>
      </c>
      <c r="O504" s="38" t="str">
        <f aca="false">IF(A504="","",IF(N504=Settings!$B$17,"No","Yes"))</f>
        <v/>
      </c>
      <c r="P504" s="35" t="n">
        <f aca="false">IF(O504="Yes",ROUND(L504*M504,2),0)</f>
        <v>0</v>
      </c>
      <c r="Q504" s="35" t="n">
        <f aca="false">IF(O504="No",ROUND(L504*M504/2,2),0)</f>
        <v>0</v>
      </c>
      <c r="R504" s="35" t="n">
        <f aca="false">Q504</f>
        <v>0</v>
      </c>
      <c r="S504" s="35" t="n">
        <f aca="false">L504+P504+Q504+R504</f>
        <v>0</v>
      </c>
      <c r="T504" s="34" t="str">
        <f aca="false">IF(A504="","",IFERROR(INDEX(Customers!$B$5:$B$204,MATCH(C504,Customers!$A$5:$A$204,0))&amp;"",""))</f>
        <v/>
      </c>
      <c r="U504" s="38" t="str">
        <f aca="false">IF(A504="","",IF(T504&lt;&gt;"","B2B",IF(AND(O504="Yes",SUMIF($A$5:$A$1004,A504,$L$5:$L$1004)+SUMIF($A$5:$A$1004,A504,$P$5:$P$1004)&gt;100000),"B2CL","B2CS")))</f>
        <v/>
      </c>
      <c r="V504" s="17" t="str">
        <f aca="false">IF(A504="","",TEXT(B504,"mmm-yyyy"))</f>
        <v/>
      </c>
    </row>
    <row r="505" customFormat="false" ht="15" hidden="false" customHeight="true" outlineLevel="0" collapsed="false">
      <c r="A505" s="24"/>
      <c r="B505" s="39"/>
      <c r="C505" s="24"/>
      <c r="D505" s="24"/>
      <c r="E505" s="40"/>
      <c r="F505" s="29"/>
      <c r="G505" s="30"/>
      <c r="H505" s="17" t="str">
        <f aca="false">IF(A505="","",A505&amp;"|"&amp;COUNTIF(A$5:A505,A505))</f>
        <v/>
      </c>
      <c r="I505" s="33" t="str">
        <f aca="false">IF(A505="","",IFERROR(INDEX(Items!$B$5:$B$304,MATCH(D505,Items!$A$5:$A$304,0))&amp;"",""))</f>
        <v/>
      </c>
      <c r="J505" s="34" t="str">
        <f aca="false">IF(A505="","",IFERROR(INDEX(Items!$C$5:$C$304,MATCH(D505,Items!$A$5:$A$304,0))&amp;"",""))</f>
        <v/>
      </c>
      <c r="K505" s="35" t="n">
        <f aca="false">IF(A505="",0,IF(ISNUMBER(F505),F505,IFERROR(INDEX(Items!$D$5:$D$304,MATCH(D505,Items!$A$5:$A$304,0)),0)))</f>
        <v>0</v>
      </c>
      <c r="L505" s="35" t="n">
        <f aca="false">ROUND(N(E505)*K505*(1-N(G505)),2)</f>
        <v>0</v>
      </c>
      <c r="M505" s="36" t="n">
        <f aca="false">IF(A505="",0,IFERROR(INDEX(Items!$E$5:$E$304,MATCH(D505,Items!$A$5:$A$304,0)),0))</f>
        <v>0</v>
      </c>
      <c r="N505" s="37" t="str">
        <f aca="false">IF(A505="","",IFERROR(INDEX(Customers!$E$5:$E$204,MATCH(C505,Customers!$A$5:$A$204,0)),"?"))</f>
        <v/>
      </c>
      <c r="O505" s="38" t="str">
        <f aca="false">IF(A505="","",IF(N505=Settings!$B$17,"No","Yes"))</f>
        <v/>
      </c>
      <c r="P505" s="35" t="n">
        <f aca="false">IF(O505="Yes",ROUND(L505*M505,2),0)</f>
        <v>0</v>
      </c>
      <c r="Q505" s="35" t="n">
        <f aca="false">IF(O505="No",ROUND(L505*M505/2,2),0)</f>
        <v>0</v>
      </c>
      <c r="R505" s="35" t="n">
        <f aca="false">Q505</f>
        <v>0</v>
      </c>
      <c r="S505" s="35" t="n">
        <f aca="false">L505+P505+Q505+R505</f>
        <v>0</v>
      </c>
      <c r="T505" s="34" t="str">
        <f aca="false">IF(A505="","",IFERROR(INDEX(Customers!$B$5:$B$204,MATCH(C505,Customers!$A$5:$A$204,0))&amp;"",""))</f>
        <v/>
      </c>
      <c r="U505" s="38" t="str">
        <f aca="false">IF(A505="","",IF(T505&lt;&gt;"","B2B",IF(AND(O505="Yes",SUMIF($A$5:$A$1004,A505,$L$5:$L$1004)+SUMIF($A$5:$A$1004,A505,$P$5:$P$1004)&gt;100000),"B2CL","B2CS")))</f>
        <v/>
      </c>
      <c r="V505" s="17" t="str">
        <f aca="false">IF(A505="","",TEXT(B505,"mmm-yyyy"))</f>
        <v/>
      </c>
    </row>
    <row r="506" customFormat="false" ht="15" hidden="false" customHeight="true" outlineLevel="0" collapsed="false">
      <c r="A506" s="24"/>
      <c r="B506" s="39"/>
      <c r="C506" s="24"/>
      <c r="D506" s="24"/>
      <c r="E506" s="40"/>
      <c r="F506" s="29"/>
      <c r="G506" s="30"/>
      <c r="H506" s="17" t="str">
        <f aca="false">IF(A506="","",A506&amp;"|"&amp;COUNTIF(A$5:A506,A506))</f>
        <v/>
      </c>
      <c r="I506" s="33" t="str">
        <f aca="false">IF(A506="","",IFERROR(INDEX(Items!$B$5:$B$304,MATCH(D506,Items!$A$5:$A$304,0))&amp;"",""))</f>
        <v/>
      </c>
      <c r="J506" s="34" t="str">
        <f aca="false">IF(A506="","",IFERROR(INDEX(Items!$C$5:$C$304,MATCH(D506,Items!$A$5:$A$304,0))&amp;"",""))</f>
        <v/>
      </c>
      <c r="K506" s="35" t="n">
        <f aca="false">IF(A506="",0,IF(ISNUMBER(F506),F506,IFERROR(INDEX(Items!$D$5:$D$304,MATCH(D506,Items!$A$5:$A$304,0)),0)))</f>
        <v>0</v>
      </c>
      <c r="L506" s="35" t="n">
        <f aca="false">ROUND(N(E506)*K506*(1-N(G506)),2)</f>
        <v>0</v>
      </c>
      <c r="M506" s="36" t="n">
        <f aca="false">IF(A506="",0,IFERROR(INDEX(Items!$E$5:$E$304,MATCH(D506,Items!$A$5:$A$304,0)),0))</f>
        <v>0</v>
      </c>
      <c r="N506" s="37" t="str">
        <f aca="false">IF(A506="","",IFERROR(INDEX(Customers!$E$5:$E$204,MATCH(C506,Customers!$A$5:$A$204,0)),"?"))</f>
        <v/>
      </c>
      <c r="O506" s="38" t="str">
        <f aca="false">IF(A506="","",IF(N506=Settings!$B$17,"No","Yes"))</f>
        <v/>
      </c>
      <c r="P506" s="35" t="n">
        <f aca="false">IF(O506="Yes",ROUND(L506*M506,2),0)</f>
        <v>0</v>
      </c>
      <c r="Q506" s="35" t="n">
        <f aca="false">IF(O506="No",ROUND(L506*M506/2,2),0)</f>
        <v>0</v>
      </c>
      <c r="R506" s="35" t="n">
        <f aca="false">Q506</f>
        <v>0</v>
      </c>
      <c r="S506" s="35" t="n">
        <f aca="false">L506+P506+Q506+R506</f>
        <v>0</v>
      </c>
      <c r="T506" s="34" t="str">
        <f aca="false">IF(A506="","",IFERROR(INDEX(Customers!$B$5:$B$204,MATCH(C506,Customers!$A$5:$A$204,0))&amp;"",""))</f>
        <v/>
      </c>
      <c r="U506" s="38" t="str">
        <f aca="false">IF(A506="","",IF(T506&lt;&gt;"","B2B",IF(AND(O506="Yes",SUMIF($A$5:$A$1004,A506,$L$5:$L$1004)+SUMIF($A$5:$A$1004,A506,$P$5:$P$1004)&gt;100000),"B2CL","B2CS")))</f>
        <v/>
      </c>
      <c r="V506" s="17" t="str">
        <f aca="false">IF(A506="","",TEXT(B506,"mmm-yyyy"))</f>
        <v/>
      </c>
    </row>
    <row r="507" customFormat="false" ht="15" hidden="false" customHeight="true" outlineLevel="0" collapsed="false">
      <c r="A507" s="24"/>
      <c r="B507" s="39"/>
      <c r="C507" s="24"/>
      <c r="D507" s="24"/>
      <c r="E507" s="40"/>
      <c r="F507" s="29"/>
      <c r="G507" s="30"/>
      <c r="H507" s="17" t="str">
        <f aca="false">IF(A507="","",A507&amp;"|"&amp;COUNTIF(A$5:A507,A507))</f>
        <v/>
      </c>
      <c r="I507" s="33" t="str">
        <f aca="false">IF(A507="","",IFERROR(INDEX(Items!$B$5:$B$304,MATCH(D507,Items!$A$5:$A$304,0))&amp;"",""))</f>
        <v/>
      </c>
      <c r="J507" s="34" t="str">
        <f aca="false">IF(A507="","",IFERROR(INDEX(Items!$C$5:$C$304,MATCH(D507,Items!$A$5:$A$304,0))&amp;"",""))</f>
        <v/>
      </c>
      <c r="K507" s="35" t="n">
        <f aca="false">IF(A507="",0,IF(ISNUMBER(F507),F507,IFERROR(INDEX(Items!$D$5:$D$304,MATCH(D507,Items!$A$5:$A$304,0)),0)))</f>
        <v>0</v>
      </c>
      <c r="L507" s="35" t="n">
        <f aca="false">ROUND(N(E507)*K507*(1-N(G507)),2)</f>
        <v>0</v>
      </c>
      <c r="M507" s="36" t="n">
        <f aca="false">IF(A507="",0,IFERROR(INDEX(Items!$E$5:$E$304,MATCH(D507,Items!$A$5:$A$304,0)),0))</f>
        <v>0</v>
      </c>
      <c r="N507" s="37" t="str">
        <f aca="false">IF(A507="","",IFERROR(INDEX(Customers!$E$5:$E$204,MATCH(C507,Customers!$A$5:$A$204,0)),"?"))</f>
        <v/>
      </c>
      <c r="O507" s="38" t="str">
        <f aca="false">IF(A507="","",IF(N507=Settings!$B$17,"No","Yes"))</f>
        <v/>
      </c>
      <c r="P507" s="35" t="n">
        <f aca="false">IF(O507="Yes",ROUND(L507*M507,2),0)</f>
        <v>0</v>
      </c>
      <c r="Q507" s="35" t="n">
        <f aca="false">IF(O507="No",ROUND(L507*M507/2,2),0)</f>
        <v>0</v>
      </c>
      <c r="R507" s="35" t="n">
        <f aca="false">Q507</f>
        <v>0</v>
      </c>
      <c r="S507" s="35" t="n">
        <f aca="false">L507+P507+Q507+R507</f>
        <v>0</v>
      </c>
      <c r="T507" s="34" t="str">
        <f aca="false">IF(A507="","",IFERROR(INDEX(Customers!$B$5:$B$204,MATCH(C507,Customers!$A$5:$A$204,0))&amp;"",""))</f>
        <v/>
      </c>
      <c r="U507" s="38" t="str">
        <f aca="false">IF(A507="","",IF(T507&lt;&gt;"","B2B",IF(AND(O507="Yes",SUMIF($A$5:$A$1004,A507,$L$5:$L$1004)+SUMIF($A$5:$A$1004,A507,$P$5:$P$1004)&gt;100000),"B2CL","B2CS")))</f>
        <v/>
      </c>
      <c r="V507" s="17" t="str">
        <f aca="false">IF(A507="","",TEXT(B507,"mmm-yyyy"))</f>
        <v/>
      </c>
    </row>
    <row r="508" customFormat="false" ht="15" hidden="false" customHeight="true" outlineLevel="0" collapsed="false">
      <c r="A508" s="24"/>
      <c r="B508" s="39"/>
      <c r="C508" s="24"/>
      <c r="D508" s="24"/>
      <c r="E508" s="40"/>
      <c r="F508" s="29"/>
      <c r="G508" s="30"/>
      <c r="H508" s="17" t="str">
        <f aca="false">IF(A508="","",A508&amp;"|"&amp;COUNTIF(A$5:A508,A508))</f>
        <v/>
      </c>
      <c r="I508" s="33" t="str">
        <f aca="false">IF(A508="","",IFERROR(INDEX(Items!$B$5:$B$304,MATCH(D508,Items!$A$5:$A$304,0))&amp;"",""))</f>
        <v/>
      </c>
      <c r="J508" s="34" t="str">
        <f aca="false">IF(A508="","",IFERROR(INDEX(Items!$C$5:$C$304,MATCH(D508,Items!$A$5:$A$304,0))&amp;"",""))</f>
        <v/>
      </c>
      <c r="K508" s="35" t="n">
        <f aca="false">IF(A508="",0,IF(ISNUMBER(F508),F508,IFERROR(INDEX(Items!$D$5:$D$304,MATCH(D508,Items!$A$5:$A$304,0)),0)))</f>
        <v>0</v>
      </c>
      <c r="L508" s="35" t="n">
        <f aca="false">ROUND(N(E508)*K508*(1-N(G508)),2)</f>
        <v>0</v>
      </c>
      <c r="M508" s="36" t="n">
        <f aca="false">IF(A508="",0,IFERROR(INDEX(Items!$E$5:$E$304,MATCH(D508,Items!$A$5:$A$304,0)),0))</f>
        <v>0</v>
      </c>
      <c r="N508" s="37" t="str">
        <f aca="false">IF(A508="","",IFERROR(INDEX(Customers!$E$5:$E$204,MATCH(C508,Customers!$A$5:$A$204,0)),"?"))</f>
        <v/>
      </c>
      <c r="O508" s="38" t="str">
        <f aca="false">IF(A508="","",IF(N508=Settings!$B$17,"No","Yes"))</f>
        <v/>
      </c>
      <c r="P508" s="35" t="n">
        <f aca="false">IF(O508="Yes",ROUND(L508*M508,2),0)</f>
        <v>0</v>
      </c>
      <c r="Q508" s="35" t="n">
        <f aca="false">IF(O508="No",ROUND(L508*M508/2,2),0)</f>
        <v>0</v>
      </c>
      <c r="R508" s="35" t="n">
        <f aca="false">Q508</f>
        <v>0</v>
      </c>
      <c r="S508" s="35" t="n">
        <f aca="false">L508+P508+Q508+R508</f>
        <v>0</v>
      </c>
      <c r="T508" s="34" t="str">
        <f aca="false">IF(A508="","",IFERROR(INDEX(Customers!$B$5:$B$204,MATCH(C508,Customers!$A$5:$A$204,0))&amp;"",""))</f>
        <v/>
      </c>
      <c r="U508" s="38" t="str">
        <f aca="false">IF(A508="","",IF(T508&lt;&gt;"","B2B",IF(AND(O508="Yes",SUMIF($A$5:$A$1004,A508,$L$5:$L$1004)+SUMIF($A$5:$A$1004,A508,$P$5:$P$1004)&gt;100000),"B2CL","B2CS")))</f>
        <v/>
      </c>
      <c r="V508" s="17" t="str">
        <f aca="false">IF(A508="","",TEXT(B508,"mmm-yyyy"))</f>
        <v/>
      </c>
    </row>
    <row r="509" customFormat="false" ht="15" hidden="false" customHeight="true" outlineLevel="0" collapsed="false">
      <c r="A509" s="24"/>
      <c r="B509" s="39"/>
      <c r="C509" s="24"/>
      <c r="D509" s="24"/>
      <c r="E509" s="40"/>
      <c r="F509" s="29"/>
      <c r="G509" s="30"/>
      <c r="H509" s="17" t="str">
        <f aca="false">IF(A509="","",A509&amp;"|"&amp;COUNTIF(A$5:A509,A509))</f>
        <v/>
      </c>
      <c r="I509" s="33" t="str">
        <f aca="false">IF(A509="","",IFERROR(INDEX(Items!$B$5:$B$304,MATCH(D509,Items!$A$5:$A$304,0))&amp;"",""))</f>
        <v/>
      </c>
      <c r="J509" s="34" t="str">
        <f aca="false">IF(A509="","",IFERROR(INDEX(Items!$C$5:$C$304,MATCH(D509,Items!$A$5:$A$304,0))&amp;"",""))</f>
        <v/>
      </c>
      <c r="K509" s="35" t="n">
        <f aca="false">IF(A509="",0,IF(ISNUMBER(F509),F509,IFERROR(INDEX(Items!$D$5:$D$304,MATCH(D509,Items!$A$5:$A$304,0)),0)))</f>
        <v>0</v>
      </c>
      <c r="L509" s="35" t="n">
        <f aca="false">ROUND(N(E509)*K509*(1-N(G509)),2)</f>
        <v>0</v>
      </c>
      <c r="M509" s="36" t="n">
        <f aca="false">IF(A509="",0,IFERROR(INDEX(Items!$E$5:$E$304,MATCH(D509,Items!$A$5:$A$304,0)),0))</f>
        <v>0</v>
      </c>
      <c r="N509" s="37" t="str">
        <f aca="false">IF(A509="","",IFERROR(INDEX(Customers!$E$5:$E$204,MATCH(C509,Customers!$A$5:$A$204,0)),"?"))</f>
        <v/>
      </c>
      <c r="O509" s="38" t="str">
        <f aca="false">IF(A509="","",IF(N509=Settings!$B$17,"No","Yes"))</f>
        <v/>
      </c>
      <c r="P509" s="35" t="n">
        <f aca="false">IF(O509="Yes",ROUND(L509*M509,2),0)</f>
        <v>0</v>
      </c>
      <c r="Q509" s="35" t="n">
        <f aca="false">IF(O509="No",ROUND(L509*M509/2,2),0)</f>
        <v>0</v>
      </c>
      <c r="R509" s="35" t="n">
        <f aca="false">Q509</f>
        <v>0</v>
      </c>
      <c r="S509" s="35" t="n">
        <f aca="false">L509+P509+Q509+R509</f>
        <v>0</v>
      </c>
      <c r="T509" s="34" t="str">
        <f aca="false">IF(A509="","",IFERROR(INDEX(Customers!$B$5:$B$204,MATCH(C509,Customers!$A$5:$A$204,0))&amp;"",""))</f>
        <v/>
      </c>
      <c r="U509" s="38" t="str">
        <f aca="false">IF(A509="","",IF(T509&lt;&gt;"","B2B",IF(AND(O509="Yes",SUMIF($A$5:$A$1004,A509,$L$5:$L$1004)+SUMIF($A$5:$A$1004,A509,$P$5:$P$1004)&gt;100000),"B2CL","B2CS")))</f>
        <v/>
      </c>
      <c r="V509" s="17" t="str">
        <f aca="false">IF(A509="","",TEXT(B509,"mmm-yyyy"))</f>
        <v/>
      </c>
    </row>
    <row r="510" customFormat="false" ht="15" hidden="false" customHeight="true" outlineLevel="0" collapsed="false">
      <c r="A510" s="24"/>
      <c r="B510" s="39"/>
      <c r="C510" s="24"/>
      <c r="D510" s="24"/>
      <c r="E510" s="40"/>
      <c r="F510" s="29"/>
      <c r="G510" s="30"/>
      <c r="H510" s="17" t="str">
        <f aca="false">IF(A510="","",A510&amp;"|"&amp;COUNTIF(A$5:A510,A510))</f>
        <v/>
      </c>
      <c r="I510" s="33" t="str">
        <f aca="false">IF(A510="","",IFERROR(INDEX(Items!$B$5:$B$304,MATCH(D510,Items!$A$5:$A$304,0))&amp;"",""))</f>
        <v/>
      </c>
      <c r="J510" s="34" t="str">
        <f aca="false">IF(A510="","",IFERROR(INDEX(Items!$C$5:$C$304,MATCH(D510,Items!$A$5:$A$304,0))&amp;"",""))</f>
        <v/>
      </c>
      <c r="K510" s="35" t="n">
        <f aca="false">IF(A510="",0,IF(ISNUMBER(F510),F510,IFERROR(INDEX(Items!$D$5:$D$304,MATCH(D510,Items!$A$5:$A$304,0)),0)))</f>
        <v>0</v>
      </c>
      <c r="L510" s="35" t="n">
        <f aca="false">ROUND(N(E510)*K510*(1-N(G510)),2)</f>
        <v>0</v>
      </c>
      <c r="M510" s="36" t="n">
        <f aca="false">IF(A510="",0,IFERROR(INDEX(Items!$E$5:$E$304,MATCH(D510,Items!$A$5:$A$304,0)),0))</f>
        <v>0</v>
      </c>
      <c r="N510" s="37" t="str">
        <f aca="false">IF(A510="","",IFERROR(INDEX(Customers!$E$5:$E$204,MATCH(C510,Customers!$A$5:$A$204,0)),"?"))</f>
        <v/>
      </c>
      <c r="O510" s="38" t="str">
        <f aca="false">IF(A510="","",IF(N510=Settings!$B$17,"No","Yes"))</f>
        <v/>
      </c>
      <c r="P510" s="35" t="n">
        <f aca="false">IF(O510="Yes",ROUND(L510*M510,2),0)</f>
        <v>0</v>
      </c>
      <c r="Q510" s="35" t="n">
        <f aca="false">IF(O510="No",ROUND(L510*M510/2,2),0)</f>
        <v>0</v>
      </c>
      <c r="R510" s="35" t="n">
        <f aca="false">Q510</f>
        <v>0</v>
      </c>
      <c r="S510" s="35" t="n">
        <f aca="false">L510+P510+Q510+R510</f>
        <v>0</v>
      </c>
      <c r="T510" s="34" t="str">
        <f aca="false">IF(A510="","",IFERROR(INDEX(Customers!$B$5:$B$204,MATCH(C510,Customers!$A$5:$A$204,0))&amp;"",""))</f>
        <v/>
      </c>
      <c r="U510" s="38" t="str">
        <f aca="false">IF(A510="","",IF(T510&lt;&gt;"","B2B",IF(AND(O510="Yes",SUMIF($A$5:$A$1004,A510,$L$5:$L$1004)+SUMIF($A$5:$A$1004,A510,$P$5:$P$1004)&gt;100000),"B2CL","B2CS")))</f>
        <v/>
      </c>
      <c r="V510" s="17" t="str">
        <f aca="false">IF(A510="","",TEXT(B510,"mmm-yyyy"))</f>
        <v/>
      </c>
    </row>
    <row r="511" customFormat="false" ht="15" hidden="false" customHeight="true" outlineLevel="0" collapsed="false">
      <c r="A511" s="24"/>
      <c r="B511" s="39"/>
      <c r="C511" s="24"/>
      <c r="D511" s="24"/>
      <c r="E511" s="40"/>
      <c r="F511" s="29"/>
      <c r="G511" s="30"/>
      <c r="H511" s="17" t="str">
        <f aca="false">IF(A511="","",A511&amp;"|"&amp;COUNTIF(A$5:A511,A511))</f>
        <v/>
      </c>
      <c r="I511" s="33" t="str">
        <f aca="false">IF(A511="","",IFERROR(INDEX(Items!$B$5:$B$304,MATCH(D511,Items!$A$5:$A$304,0))&amp;"",""))</f>
        <v/>
      </c>
      <c r="J511" s="34" t="str">
        <f aca="false">IF(A511="","",IFERROR(INDEX(Items!$C$5:$C$304,MATCH(D511,Items!$A$5:$A$304,0))&amp;"",""))</f>
        <v/>
      </c>
      <c r="K511" s="35" t="n">
        <f aca="false">IF(A511="",0,IF(ISNUMBER(F511),F511,IFERROR(INDEX(Items!$D$5:$D$304,MATCH(D511,Items!$A$5:$A$304,0)),0)))</f>
        <v>0</v>
      </c>
      <c r="L511" s="35" t="n">
        <f aca="false">ROUND(N(E511)*K511*(1-N(G511)),2)</f>
        <v>0</v>
      </c>
      <c r="M511" s="36" t="n">
        <f aca="false">IF(A511="",0,IFERROR(INDEX(Items!$E$5:$E$304,MATCH(D511,Items!$A$5:$A$304,0)),0))</f>
        <v>0</v>
      </c>
      <c r="N511" s="37" t="str">
        <f aca="false">IF(A511="","",IFERROR(INDEX(Customers!$E$5:$E$204,MATCH(C511,Customers!$A$5:$A$204,0)),"?"))</f>
        <v/>
      </c>
      <c r="O511" s="38" t="str">
        <f aca="false">IF(A511="","",IF(N511=Settings!$B$17,"No","Yes"))</f>
        <v/>
      </c>
      <c r="P511" s="35" t="n">
        <f aca="false">IF(O511="Yes",ROUND(L511*M511,2),0)</f>
        <v>0</v>
      </c>
      <c r="Q511" s="35" t="n">
        <f aca="false">IF(O511="No",ROUND(L511*M511/2,2),0)</f>
        <v>0</v>
      </c>
      <c r="R511" s="35" t="n">
        <f aca="false">Q511</f>
        <v>0</v>
      </c>
      <c r="S511" s="35" t="n">
        <f aca="false">L511+P511+Q511+R511</f>
        <v>0</v>
      </c>
      <c r="T511" s="34" t="str">
        <f aca="false">IF(A511="","",IFERROR(INDEX(Customers!$B$5:$B$204,MATCH(C511,Customers!$A$5:$A$204,0))&amp;"",""))</f>
        <v/>
      </c>
      <c r="U511" s="38" t="str">
        <f aca="false">IF(A511="","",IF(T511&lt;&gt;"","B2B",IF(AND(O511="Yes",SUMIF($A$5:$A$1004,A511,$L$5:$L$1004)+SUMIF($A$5:$A$1004,A511,$P$5:$P$1004)&gt;100000),"B2CL","B2CS")))</f>
        <v/>
      </c>
      <c r="V511" s="17" t="str">
        <f aca="false">IF(A511="","",TEXT(B511,"mmm-yyyy"))</f>
        <v/>
      </c>
    </row>
    <row r="512" customFormat="false" ht="15" hidden="false" customHeight="true" outlineLevel="0" collapsed="false">
      <c r="A512" s="24"/>
      <c r="B512" s="39"/>
      <c r="C512" s="24"/>
      <c r="D512" s="24"/>
      <c r="E512" s="40"/>
      <c r="F512" s="29"/>
      <c r="G512" s="30"/>
      <c r="H512" s="17" t="str">
        <f aca="false">IF(A512="","",A512&amp;"|"&amp;COUNTIF(A$5:A512,A512))</f>
        <v/>
      </c>
      <c r="I512" s="33" t="str">
        <f aca="false">IF(A512="","",IFERROR(INDEX(Items!$B$5:$B$304,MATCH(D512,Items!$A$5:$A$304,0))&amp;"",""))</f>
        <v/>
      </c>
      <c r="J512" s="34" t="str">
        <f aca="false">IF(A512="","",IFERROR(INDEX(Items!$C$5:$C$304,MATCH(D512,Items!$A$5:$A$304,0))&amp;"",""))</f>
        <v/>
      </c>
      <c r="K512" s="35" t="n">
        <f aca="false">IF(A512="",0,IF(ISNUMBER(F512),F512,IFERROR(INDEX(Items!$D$5:$D$304,MATCH(D512,Items!$A$5:$A$304,0)),0)))</f>
        <v>0</v>
      </c>
      <c r="L512" s="35" t="n">
        <f aca="false">ROUND(N(E512)*K512*(1-N(G512)),2)</f>
        <v>0</v>
      </c>
      <c r="M512" s="36" t="n">
        <f aca="false">IF(A512="",0,IFERROR(INDEX(Items!$E$5:$E$304,MATCH(D512,Items!$A$5:$A$304,0)),0))</f>
        <v>0</v>
      </c>
      <c r="N512" s="37" t="str">
        <f aca="false">IF(A512="","",IFERROR(INDEX(Customers!$E$5:$E$204,MATCH(C512,Customers!$A$5:$A$204,0)),"?"))</f>
        <v/>
      </c>
      <c r="O512" s="38" t="str">
        <f aca="false">IF(A512="","",IF(N512=Settings!$B$17,"No","Yes"))</f>
        <v/>
      </c>
      <c r="P512" s="35" t="n">
        <f aca="false">IF(O512="Yes",ROUND(L512*M512,2),0)</f>
        <v>0</v>
      </c>
      <c r="Q512" s="35" t="n">
        <f aca="false">IF(O512="No",ROUND(L512*M512/2,2),0)</f>
        <v>0</v>
      </c>
      <c r="R512" s="35" t="n">
        <f aca="false">Q512</f>
        <v>0</v>
      </c>
      <c r="S512" s="35" t="n">
        <f aca="false">L512+P512+Q512+R512</f>
        <v>0</v>
      </c>
      <c r="T512" s="34" t="str">
        <f aca="false">IF(A512="","",IFERROR(INDEX(Customers!$B$5:$B$204,MATCH(C512,Customers!$A$5:$A$204,0))&amp;"",""))</f>
        <v/>
      </c>
      <c r="U512" s="38" t="str">
        <f aca="false">IF(A512="","",IF(T512&lt;&gt;"","B2B",IF(AND(O512="Yes",SUMIF($A$5:$A$1004,A512,$L$5:$L$1004)+SUMIF($A$5:$A$1004,A512,$P$5:$P$1004)&gt;100000),"B2CL","B2CS")))</f>
        <v/>
      </c>
      <c r="V512" s="17" t="str">
        <f aca="false">IF(A512="","",TEXT(B512,"mmm-yyyy"))</f>
        <v/>
      </c>
    </row>
    <row r="513" customFormat="false" ht="15" hidden="false" customHeight="true" outlineLevel="0" collapsed="false">
      <c r="A513" s="24"/>
      <c r="B513" s="39"/>
      <c r="C513" s="24"/>
      <c r="D513" s="24"/>
      <c r="E513" s="40"/>
      <c r="F513" s="29"/>
      <c r="G513" s="30"/>
      <c r="H513" s="17" t="str">
        <f aca="false">IF(A513="","",A513&amp;"|"&amp;COUNTIF(A$5:A513,A513))</f>
        <v/>
      </c>
      <c r="I513" s="33" t="str">
        <f aca="false">IF(A513="","",IFERROR(INDEX(Items!$B$5:$B$304,MATCH(D513,Items!$A$5:$A$304,0))&amp;"",""))</f>
        <v/>
      </c>
      <c r="J513" s="34" t="str">
        <f aca="false">IF(A513="","",IFERROR(INDEX(Items!$C$5:$C$304,MATCH(D513,Items!$A$5:$A$304,0))&amp;"",""))</f>
        <v/>
      </c>
      <c r="K513" s="35" t="n">
        <f aca="false">IF(A513="",0,IF(ISNUMBER(F513),F513,IFERROR(INDEX(Items!$D$5:$D$304,MATCH(D513,Items!$A$5:$A$304,0)),0)))</f>
        <v>0</v>
      </c>
      <c r="L513" s="35" t="n">
        <f aca="false">ROUND(N(E513)*K513*(1-N(G513)),2)</f>
        <v>0</v>
      </c>
      <c r="M513" s="36" t="n">
        <f aca="false">IF(A513="",0,IFERROR(INDEX(Items!$E$5:$E$304,MATCH(D513,Items!$A$5:$A$304,0)),0))</f>
        <v>0</v>
      </c>
      <c r="N513" s="37" t="str">
        <f aca="false">IF(A513="","",IFERROR(INDEX(Customers!$E$5:$E$204,MATCH(C513,Customers!$A$5:$A$204,0)),"?"))</f>
        <v/>
      </c>
      <c r="O513" s="38" t="str">
        <f aca="false">IF(A513="","",IF(N513=Settings!$B$17,"No","Yes"))</f>
        <v/>
      </c>
      <c r="P513" s="35" t="n">
        <f aca="false">IF(O513="Yes",ROUND(L513*M513,2),0)</f>
        <v>0</v>
      </c>
      <c r="Q513" s="35" t="n">
        <f aca="false">IF(O513="No",ROUND(L513*M513/2,2),0)</f>
        <v>0</v>
      </c>
      <c r="R513" s="35" t="n">
        <f aca="false">Q513</f>
        <v>0</v>
      </c>
      <c r="S513" s="35" t="n">
        <f aca="false">L513+P513+Q513+R513</f>
        <v>0</v>
      </c>
      <c r="T513" s="34" t="str">
        <f aca="false">IF(A513="","",IFERROR(INDEX(Customers!$B$5:$B$204,MATCH(C513,Customers!$A$5:$A$204,0))&amp;"",""))</f>
        <v/>
      </c>
      <c r="U513" s="38" t="str">
        <f aca="false">IF(A513="","",IF(T513&lt;&gt;"","B2B",IF(AND(O513="Yes",SUMIF($A$5:$A$1004,A513,$L$5:$L$1004)+SUMIF($A$5:$A$1004,A513,$P$5:$P$1004)&gt;100000),"B2CL","B2CS")))</f>
        <v/>
      </c>
      <c r="V513" s="17" t="str">
        <f aca="false">IF(A513="","",TEXT(B513,"mmm-yyyy"))</f>
        <v/>
      </c>
    </row>
    <row r="514" customFormat="false" ht="15" hidden="false" customHeight="true" outlineLevel="0" collapsed="false">
      <c r="A514" s="24"/>
      <c r="B514" s="39"/>
      <c r="C514" s="24"/>
      <c r="D514" s="24"/>
      <c r="E514" s="40"/>
      <c r="F514" s="29"/>
      <c r="G514" s="30"/>
      <c r="H514" s="17" t="str">
        <f aca="false">IF(A514="","",A514&amp;"|"&amp;COUNTIF(A$5:A514,A514))</f>
        <v/>
      </c>
      <c r="I514" s="33" t="str">
        <f aca="false">IF(A514="","",IFERROR(INDEX(Items!$B$5:$B$304,MATCH(D514,Items!$A$5:$A$304,0))&amp;"",""))</f>
        <v/>
      </c>
      <c r="J514" s="34" t="str">
        <f aca="false">IF(A514="","",IFERROR(INDEX(Items!$C$5:$C$304,MATCH(D514,Items!$A$5:$A$304,0))&amp;"",""))</f>
        <v/>
      </c>
      <c r="K514" s="35" t="n">
        <f aca="false">IF(A514="",0,IF(ISNUMBER(F514),F514,IFERROR(INDEX(Items!$D$5:$D$304,MATCH(D514,Items!$A$5:$A$304,0)),0)))</f>
        <v>0</v>
      </c>
      <c r="L514" s="35" t="n">
        <f aca="false">ROUND(N(E514)*K514*(1-N(G514)),2)</f>
        <v>0</v>
      </c>
      <c r="M514" s="36" t="n">
        <f aca="false">IF(A514="",0,IFERROR(INDEX(Items!$E$5:$E$304,MATCH(D514,Items!$A$5:$A$304,0)),0))</f>
        <v>0</v>
      </c>
      <c r="N514" s="37" t="str">
        <f aca="false">IF(A514="","",IFERROR(INDEX(Customers!$E$5:$E$204,MATCH(C514,Customers!$A$5:$A$204,0)),"?"))</f>
        <v/>
      </c>
      <c r="O514" s="38" t="str">
        <f aca="false">IF(A514="","",IF(N514=Settings!$B$17,"No","Yes"))</f>
        <v/>
      </c>
      <c r="P514" s="35" t="n">
        <f aca="false">IF(O514="Yes",ROUND(L514*M514,2),0)</f>
        <v>0</v>
      </c>
      <c r="Q514" s="35" t="n">
        <f aca="false">IF(O514="No",ROUND(L514*M514/2,2),0)</f>
        <v>0</v>
      </c>
      <c r="R514" s="35" t="n">
        <f aca="false">Q514</f>
        <v>0</v>
      </c>
      <c r="S514" s="35" t="n">
        <f aca="false">L514+P514+Q514+R514</f>
        <v>0</v>
      </c>
      <c r="T514" s="34" t="str">
        <f aca="false">IF(A514="","",IFERROR(INDEX(Customers!$B$5:$B$204,MATCH(C514,Customers!$A$5:$A$204,0))&amp;"",""))</f>
        <v/>
      </c>
      <c r="U514" s="38" t="str">
        <f aca="false">IF(A514="","",IF(T514&lt;&gt;"","B2B",IF(AND(O514="Yes",SUMIF($A$5:$A$1004,A514,$L$5:$L$1004)+SUMIF($A$5:$A$1004,A514,$P$5:$P$1004)&gt;100000),"B2CL","B2CS")))</f>
        <v/>
      </c>
      <c r="V514" s="17" t="str">
        <f aca="false">IF(A514="","",TEXT(B514,"mmm-yyyy"))</f>
        <v/>
      </c>
    </row>
    <row r="515" customFormat="false" ht="15" hidden="false" customHeight="true" outlineLevel="0" collapsed="false">
      <c r="A515" s="24"/>
      <c r="B515" s="39"/>
      <c r="C515" s="24"/>
      <c r="D515" s="24"/>
      <c r="E515" s="40"/>
      <c r="F515" s="29"/>
      <c r="G515" s="30"/>
      <c r="H515" s="17" t="str">
        <f aca="false">IF(A515="","",A515&amp;"|"&amp;COUNTIF(A$5:A515,A515))</f>
        <v/>
      </c>
      <c r="I515" s="33" t="str">
        <f aca="false">IF(A515="","",IFERROR(INDEX(Items!$B$5:$B$304,MATCH(D515,Items!$A$5:$A$304,0))&amp;"",""))</f>
        <v/>
      </c>
      <c r="J515" s="34" t="str">
        <f aca="false">IF(A515="","",IFERROR(INDEX(Items!$C$5:$C$304,MATCH(D515,Items!$A$5:$A$304,0))&amp;"",""))</f>
        <v/>
      </c>
      <c r="K515" s="35" t="n">
        <f aca="false">IF(A515="",0,IF(ISNUMBER(F515),F515,IFERROR(INDEX(Items!$D$5:$D$304,MATCH(D515,Items!$A$5:$A$304,0)),0)))</f>
        <v>0</v>
      </c>
      <c r="L515" s="35" t="n">
        <f aca="false">ROUND(N(E515)*K515*(1-N(G515)),2)</f>
        <v>0</v>
      </c>
      <c r="M515" s="36" t="n">
        <f aca="false">IF(A515="",0,IFERROR(INDEX(Items!$E$5:$E$304,MATCH(D515,Items!$A$5:$A$304,0)),0))</f>
        <v>0</v>
      </c>
      <c r="N515" s="37" t="str">
        <f aca="false">IF(A515="","",IFERROR(INDEX(Customers!$E$5:$E$204,MATCH(C515,Customers!$A$5:$A$204,0)),"?"))</f>
        <v/>
      </c>
      <c r="O515" s="38" t="str">
        <f aca="false">IF(A515="","",IF(N515=Settings!$B$17,"No","Yes"))</f>
        <v/>
      </c>
      <c r="P515" s="35" t="n">
        <f aca="false">IF(O515="Yes",ROUND(L515*M515,2),0)</f>
        <v>0</v>
      </c>
      <c r="Q515" s="35" t="n">
        <f aca="false">IF(O515="No",ROUND(L515*M515/2,2),0)</f>
        <v>0</v>
      </c>
      <c r="R515" s="35" t="n">
        <f aca="false">Q515</f>
        <v>0</v>
      </c>
      <c r="S515" s="35" t="n">
        <f aca="false">L515+P515+Q515+R515</f>
        <v>0</v>
      </c>
      <c r="T515" s="34" t="str">
        <f aca="false">IF(A515="","",IFERROR(INDEX(Customers!$B$5:$B$204,MATCH(C515,Customers!$A$5:$A$204,0))&amp;"",""))</f>
        <v/>
      </c>
      <c r="U515" s="38" t="str">
        <f aca="false">IF(A515="","",IF(T515&lt;&gt;"","B2B",IF(AND(O515="Yes",SUMIF($A$5:$A$1004,A515,$L$5:$L$1004)+SUMIF($A$5:$A$1004,A515,$P$5:$P$1004)&gt;100000),"B2CL","B2CS")))</f>
        <v/>
      </c>
      <c r="V515" s="17" t="str">
        <f aca="false">IF(A515="","",TEXT(B515,"mmm-yyyy"))</f>
        <v/>
      </c>
    </row>
    <row r="516" customFormat="false" ht="15" hidden="false" customHeight="true" outlineLevel="0" collapsed="false">
      <c r="A516" s="24"/>
      <c r="B516" s="39"/>
      <c r="C516" s="24"/>
      <c r="D516" s="24"/>
      <c r="E516" s="40"/>
      <c r="F516" s="29"/>
      <c r="G516" s="30"/>
      <c r="H516" s="17" t="str">
        <f aca="false">IF(A516="","",A516&amp;"|"&amp;COUNTIF(A$5:A516,A516))</f>
        <v/>
      </c>
      <c r="I516" s="33" t="str">
        <f aca="false">IF(A516="","",IFERROR(INDEX(Items!$B$5:$B$304,MATCH(D516,Items!$A$5:$A$304,0))&amp;"",""))</f>
        <v/>
      </c>
      <c r="J516" s="34" t="str">
        <f aca="false">IF(A516="","",IFERROR(INDEX(Items!$C$5:$C$304,MATCH(D516,Items!$A$5:$A$304,0))&amp;"",""))</f>
        <v/>
      </c>
      <c r="K516" s="35" t="n">
        <f aca="false">IF(A516="",0,IF(ISNUMBER(F516),F516,IFERROR(INDEX(Items!$D$5:$D$304,MATCH(D516,Items!$A$5:$A$304,0)),0)))</f>
        <v>0</v>
      </c>
      <c r="L516" s="35" t="n">
        <f aca="false">ROUND(N(E516)*K516*(1-N(G516)),2)</f>
        <v>0</v>
      </c>
      <c r="M516" s="36" t="n">
        <f aca="false">IF(A516="",0,IFERROR(INDEX(Items!$E$5:$E$304,MATCH(D516,Items!$A$5:$A$304,0)),0))</f>
        <v>0</v>
      </c>
      <c r="N516" s="37" t="str">
        <f aca="false">IF(A516="","",IFERROR(INDEX(Customers!$E$5:$E$204,MATCH(C516,Customers!$A$5:$A$204,0)),"?"))</f>
        <v/>
      </c>
      <c r="O516" s="38" t="str">
        <f aca="false">IF(A516="","",IF(N516=Settings!$B$17,"No","Yes"))</f>
        <v/>
      </c>
      <c r="P516" s="35" t="n">
        <f aca="false">IF(O516="Yes",ROUND(L516*M516,2),0)</f>
        <v>0</v>
      </c>
      <c r="Q516" s="35" t="n">
        <f aca="false">IF(O516="No",ROUND(L516*M516/2,2),0)</f>
        <v>0</v>
      </c>
      <c r="R516" s="35" t="n">
        <f aca="false">Q516</f>
        <v>0</v>
      </c>
      <c r="S516" s="35" t="n">
        <f aca="false">L516+P516+Q516+R516</f>
        <v>0</v>
      </c>
      <c r="T516" s="34" t="str">
        <f aca="false">IF(A516="","",IFERROR(INDEX(Customers!$B$5:$B$204,MATCH(C516,Customers!$A$5:$A$204,0))&amp;"",""))</f>
        <v/>
      </c>
      <c r="U516" s="38" t="str">
        <f aca="false">IF(A516="","",IF(T516&lt;&gt;"","B2B",IF(AND(O516="Yes",SUMIF($A$5:$A$1004,A516,$L$5:$L$1004)+SUMIF($A$5:$A$1004,A516,$P$5:$P$1004)&gt;100000),"B2CL","B2CS")))</f>
        <v/>
      </c>
      <c r="V516" s="17" t="str">
        <f aca="false">IF(A516="","",TEXT(B516,"mmm-yyyy"))</f>
        <v/>
      </c>
    </row>
    <row r="517" customFormat="false" ht="15" hidden="false" customHeight="true" outlineLevel="0" collapsed="false">
      <c r="A517" s="24"/>
      <c r="B517" s="39"/>
      <c r="C517" s="24"/>
      <c r="D517" s="24"/>
      <c r="E517" s="40"/>
      <c r="F517" s="29"/>
      <c r="G517" s="30"/>
      <c r="H517" s="17" t="str">
        <f aca="false">IF(A517="","",A517&amp;"|"&amp;COUNTIF(A$5:A517,A517))</f>
        <v/>
      </c>
      <c r="I517" s="33" t="str">
        <f aca="false">IF(A517="","",IFERROR(INDEX(Items!$B$5:$B$304,MATCH(D517,Items!$A$5:$A$304,0))&amp;"",""))</f>
        <v/>
      </c>
      <c r="J517" s="34" t="str">
        <f aca="false">IF(A517="","",IFERROR(INDEX(Items!$C$5:$C$304,MATCH(D517,Items!$A$5:$A$304,0))&amp;"",""))</f>
        <v/>
      </c>
      <c r="K517" s="35" t="n">
        <f aca="false">IF(A517="",0,IF(ISNUMBER(F517),F517,IFERROR(INDEX(Items!$D$5:$D$304,MATCH(D517,Items!$A$5:$A$304,0)),0)))</f>
        <v>0</v>
      </c>
      <c r="L517" s="35" t="n">
        <f aca="false">ROUND(N(E517)*K517*(1-N(G517)),2)</f>
        <v>0</v>
      </c>
      <c r="M517" s="36" t="n">
        <f aca="false">IF(A517="",0,IFERROR(INDEX(Items!$E$5:$E$304,MATCH(D517,Items!$A$5:$A$304,0)),0))</f>
        <v>0</v>
      </c>
      <c r="N517" s="37" t="str">
        <f aca="false">IF(A517="","",IFERROR(INDEX(Customers!$E$5:$E$204,MATCH(C517,Customers!$A$5:$A$204,0)),"?"))</f>
        <v/>
      </c>
      <c r="O517" s="38" t="str">
        <f aca="false">IF(A517="","",IF(N517=Settings!$B$17,"No","Yes"))</f>
        <v/>
      </c>
      <c r="P517" s="35" t="n">
        <f aca="false">IF(O517="Yes",ROUND(L517*M517,2),0)</f>
        <v>0</v>
      </c>
      <c r="Q517" s="35" t="n">
        <f aca="false">IF(O517="No",ROUND(L517*M517/2,2),0)</f>
        <v>0</v>
      </c>
      <c r="R517" s="35" t="n">
        <f aca="false">Q517</f>
        <v>0</v>
      </c>
      <c r="S517" s="35" t="n">
        <f aca="false">L517+P517+Q517+R517</f>
        <v>0</v>
      </c>
      <c r="T517" s="34" t="str">
        <f aca="false">IF(A517="","",IFERROR(INDEX(Customers!$B$5:$B$204,MATCH(C517,Customers!$A$5:$A$204,0))&amp;"",""))</f>
        <v/>
      </c>
      <c r="U517" s="38" t="str">
        <f aca="false">IF(A517="","",IF(T517&lt;&gt;"","B2B",IF(AND(O517="Yes",SUMIF($A$5:$A$1004,A517,$L$5:$L$1004)+SUMIF($A$5:$A$1004,A517,$P$5:$P$1004)&gt;100000),"B2CL","B2CS")))</f>
        <v/>
      </c>
      <c r="V517" s="17" t="str">
        <f aca="false">IF(A517="","",TEXT(B517,"mmm-yyyy"))</f>
        <v/>
      </c>
    </row>
    <row r="518" customFormat="false" ht="15" hidden="false" customHeight="true" outlineLevel="0" collapsed="false">
      <c r="A518" s="24"/>
      <c r="B518" s="39"/>
      <c r="C518" s="24"/>
      <c r="D518" s="24"/>
      <c r="E518" s="40"/>
      <c r="F518" s="29"/>
      <c r="G518" s="30"/>
      <c r="H518" s="17" t="str">
        <f aca="false">IF(A518="","",A518&amp;"|"&amp;COUNTIF(A$5:A518,A518))</f>
        <v/>
      </c>
      <c r="I518" s="33" t="str">
        <f aca="false">IF(A518="","",IFERROR(INDEX(Items!$B$5:$B$304,MATCH(D518,Items!$A$5:$A$304,0))&amp;"",""))</f>
        <v/>
      </c>
      <c r="J518" s="34" t="str">
        <f aca="false">IF(A518="","",IFERROR(INDEX(Items!$C$5:$C$304,MATCH(D518,Items!$A$5:$A$304,0))&amp;"",""))</f>
        <v/>
      </c>
      <c r="K518" s="35" t="n">
        <f aca="false">IF(A518="",0,IF(ISNUMBER(F518),F518,IFERROR(INDEX(Items!$D$5:$D$304,MATCH(D518,Items!$A$5:$A$304,0)),0)))</f>
        <v>0</v>
      </c>
      <c r="L518" s="35" t="n">
        <f aca="false">ROUND(N(E518)*K518*(1-N(G518)),2)</f>
        <v>0</v>
      </c>
      <c r="M518" s="36" t="n">
        <f aca="false">IF(A518="",0,IFERROR(INDEX(Items!$E$5:$E$304,MATCH(D518,Items!$A$5:$A$304,0)),0))</f>
        <v>0</v>
      </c>
      <c r="N518" s="37" t="str">
        <f aca="false">IF(A518="","",IFERROR(INDEX(Customers!$E$5:$E$204,MATCH(C518,Customers!$A$5:$A$204,0)),"?"))</f>
        <v/>
      </c>
      <c r="O518" s="38" t="str">
        <f aca="false">IF(A518="","",IF(N518=Settings!$B$17,"No","Yes"))</f>
        <v/>
      </c>
      <c r="P518" s="35" t="n">
        <f aca="false">IF(O518="Yes",ROUND(L518*M518,2),0)</f>
        <v>0</v>
      </c>
      <c r="Q518" s="35" t="n">
        <f aca="false">IF(O518="No",ROUND(L518*M518/2,2),0)</f>
        <v>0</v>
      </c>
      <c r="R518" s="35" t="n">
        <f aca="false">Q518</f>
        <v>0</v>
      </c>
      <c r="S518" s="35" t="n">
        <f aca="false">L518+P518+Q518+R518</f>
        <v>0</v>
      </c>
      <c r="T518" s="34" t="str">
        <f aca="false">IF(A518="","",IFERROR(INDEX(Customers!$B$5:$B$204,MATCH(C518,Customers!$A$5:$A$204,0))&amp;"",""))</f>
        <v/>
      </c>
      <c r="U518" s="38" t="str">
        <f aca="false">IF(A518="","",IF(T518&lt;&gt;"","B2B",IF(AND(O518="Yes",SUMIF($A$5:$A$1004,A518,$L$5:$L$1004)+SUMIF($A$5:$A$1004,A518,$P$5:$P$1004)&gt;100000),"B2CL","B2CS")))</f>
        <v/>
      </c>
      <c r="V518" s="17" t="str">
        <f aca="false">IF(A518="","",TEXT(B518,"mmm-yyyy"))</f>
        <v/>
      </c>
    </row>
    <row r="519" customFormat="false" ht="15" hidden="false" customHeight="true" outlineLevel="0" collapsed="false">
      <c r="A519" s="24"/>
      <c r="B519" s="39"/>
      <c r="C519" s="24"/>
      <c r="D519" s="24"/>
      <c r="E519" s="40"/>
      <c r="F519" s="29"/>
      <c r="G519" s="30"/>
      <c r="H519" s="17" t="str">
        <f aca="false">IF(A519="","",A519&amp;"|"&amp;COUNTIF(A$5:A519,A519))</f>
        <v/>
      </c>
      <c r="I519" s="33" t="str">
        <f aca="false">IF(A519="","",IFERROR(INDEX(Items!$B$5:$B$304,MATCH(D519,Items!$A$5:$A$304,0))&amp;"",""))</f>
        <v/>
      </c>
      <c r="J519" s="34" t="str">
        <f aca="false">IF(A519="","",IFERROR(INDEX(Items!$C$5:$C$304,MATCH(D519,Items!$A$5:$A$304,0))&amp;"",""))</f>
        <v/>
      </c>
      <c r="K519" s="35" t="n">
        <f aca="false">IF(A519="",0,IF(ISNUMBER(F519),F519,IFERROR(INDEX(Items!$D$5:$D$304,MATCH(D519,Items!$A$5:$A$304,0)),0)))</f>
        <v>0</v>
      </c>
      <c r="L519" s="35" t="n">
        <f aca="false">ROUND(N(E519)*K519*(1-N(G519)),2)</f>
        <v>0</v>
      </c>
      <c r="M519" s="36" t="n">
        <f aca="false">IF(A519="",0,IFERROR(INDEX(Items!$E$5:$E$304,MATCH(D519,Items!$A$5:$A$304,0)),0))</f>
        <v>0</v>
      </c>
      <c r="N519" s="37" t="str">
        <f aca="false">IF(A519="","",IFERROR(INDEX(Customers!$E$5:$E$204,MATCH(C519,Customers!$A$5:$A$204,0)),"?"))</f>
        <v/>
      </c>
      <c r="O519" s="38" t="str">
        <f aca="false">IF(A519="","",IF(N519=Settings!$B$17,"No","Yes"))</f>
        <v/>
      </c>
      <c r="P519" s="35" t="n">
        <f aca="false">IF(O519="Yes",ROUND(L519*M519,2),0)</f>
        <v>0</v>
      </c>
      <c r="Q519" s="35" t="n">
        <f aca="false">IF(O519="No",ROUND(L519*M519/2,2),0)</f>
        <v>0</v>
      </c>
      <c r="R519" s="35" t="n">
        <f aca="false">Q519</f>
        <v>0</v>
      </c>
      <c r="S519" s="35" t="n">
        <f aca="false">L519+P519+Q519+R519</f>
        <v>0</v>
      </c>
      <c r="T519" s="34" t="str">
        <f aca="false">IF(A519="","",IFERROR(INDEX(Customers!$B$5:$B$204,MATCH(C519,Customers!$A$5:$A$204,0))&amp;"",""))</f>
        <v/>
      </c>
      <c r="U519" s="38" t="str">
        <f aca="false">IF(A519="","",IF(T519&lt;&gt;"","B2B",IF(AND(O519="Yes",SUMIF($A$5:$A$1004,A519,$L$5:$L$1004)+SUMIF($A$5:$A$1004,A519,$P$5:$P$1004)&gt;100000),"B2CL","B2CS")))</f>
        <v/>
      </c>
      <c r="V519" s="17" t="str">
        <f aca="false">IF(A519="","",TEXT(B519,"mmm-yyyy"))</f>
        <v/>
      </c>
    </row>
    <row r="520" customFormat="false" ht="15" hidden="false" customHeight="true" outlineLevel="0" collapsed="false">
      <c r="A520" s="24"/>
      <c r="B520" s="39"/>
      <c r="C520" s="24"/>
      <c r="D520" s="24"/>
      <c r="E520" s="40"/>
      <c r="F520" s="29"/>
      <c r="G520" s="30"/>
      <c r="H520" s="17" t="str">
        <f aca="false">IF(A520="","",A520&amp;"|"&amp;COUNTIF(A$5:A520,A520))</f>
        <v/>
      </c>
      <c r="I520" s="33" t="str">
        <f aca="false">IF(A520="","",IFERROR(INDEX(Items!$B$5:$B$304,MATCH(D520,Items!$A$5:$A$304,0))&amp;"",""))</f>
        <v/>
      </c>
      <c r="J520" s="34" t="str">
        <f aca="false">IF(A520="","",IFERROR(INDEX(Items!$C$5:$C$304,MATCH(D520,Items!$A$5:$A$304,0))&amp;"",""))</f>
        <v/>
      </c>
      <c r="K520" s="35" t="n">
        <f aca="false">IF(A520="",0,IF(ISNUMBER(F520),F520,IFERROR(INDEX(Items!$D$5:$D$304,MATCH(D520,Items!$A$5:$A$304,0)),0)))</f>
        <v>0</v>
      </c>
      <c r="L520" s="35" t="n">
        <f aca="false">ROUND(N(E520)*K520*(1-N(G520)),2)</f>
        <v>0</v>
      </c>
      <c r="M520" s="36" t="n">
        <f aca="false">IF(A520="",0,IFERROR(INDEX(Items!$E$5:$E$304,MATCH(D520,Items!$A$5:$A$304,0)),0))</f>
        <v>0</v>
      </c>
      <c r="N520" s="37" t="str">
        <f aca="false">IF(A520="","",IFERROR(INDEX(Customers!$E$5:$E$204,MATCH(C520,Customers!$A$5:$A$204,0)),"?"))</f>
        <v/>
      </c>
      <c r="O520" s="38" t="str">
        <f aca="false">IF(A520="","",IF(N520=Settings!$B$17,"No","Yes"))</f>
        <v/>
      </c>
      <c r="P520" s="35" t="n">
        <f aca="false">IF(O520="Yes",ROUND(L520*M520,2),0)</f>
        <v>0</v>
      </c>
      <c r="Q520" s="35" t="n">
        <f aca="false">IF(O520="No",ROUND(L520*M520/2,2),0)</f>
        <v>0</v>
      </c>
      <c r="R520" s="35" t="n">
        <f aca="false">Q520</f>
        <v>0</v>
      </c>
      <c r="S520" s="35" t="n">
        <f aca="false">L520+P520+Q520+R520</f>
        <v>0</v>
      </c>
      <c r="T520" s="34" t="str">
        <f aca="false">IF(A520="","",IFERROR(INDEX(Customers!$B$5:$B$204,MATCH(C520,Customers!$A$5:$A$204,0))&amp;"",""))</f>
        <v/>
      </c>
      <c r="U520" s="38" t="str">
        <f aca="false">IF(A520="","",IF(T520&lt;&gt;"","B2B",IF(AND(O520="Yes",SUMIF($A$5:$A$1004,A520,$L$5:$L$1004)+SUMIF($A$5:$A$1004,A520,$P$5:$P$1004)&gt;100000),"B2CL","B2CS")))</f>
        <v/>
      </c>
      <c r="V520" s="17" t="str">
        <f aca="false">IF(A520="","",TEXT(B520,"mmm-yyyy"))</f>
        <v/>
      </c>
    </row>
    <row r="521" customFormat="false" ht="15" hidden="false" customHeight="true" outlineLevel="0" collapsed="false">
      <c r="A521" s="24"/>
      <c r="B521" s="39"/>
      <c r="C521" s="24"/>
      <c r="D521" s="24"/>
      <c r="E521" s="40"/>
      <c r="F521" s="29"/>
      <c r="G521" s="30"/>
      <c r="H521" s="17" t="str">
        <f aca="false">IF(A521="","",A521&amp;"|"&amp;COUNTIF(A$5:A521,A521))</f>
        <v/>
      </c>
      <c r="I521" s="33" t="str">
        <f aca="false">IF(A521="","",IFERROR(INDEX(Items!$B$5:$B$304,MATCH(D521,Items!$A$5:$A$304,0))&amp;"",""))</f>
        <v/>
      </c>
      <c r="J521" s="34" t="str">
        <f aca="false">IF(A521="","",IFERROR(INDEX(Items!$C$5:$C$304,MATCH(D521,Items!$A$5:$A$304,0))&amp;"",""))</f>
        <v/>
      </c>
      <c r="K521" s="35" t="n">
        <f aca="false">IF(A521="",0,IF(ISNUMBER(F521),F521,IFERROR(INDEX(Items!$D$5:$D$304,MATCH(D521,Items!$A$5:$A$304,0)),0)))</f>
        <v>0</v>
      </c>
      <c r="L521" s="35" t="n">
        <f aca="false">ROUND(N(E521)*K521*(1-N(G521)),2)</f>
        <v>0</v>
      </c>
      <c r="M521" s="36" t="n">
        <f aca="false">IF(A521="",0,IFERROR(INDEX(Items!$E$5:$E$304,MATCH(D521,Items!$A$5:$A$304,0)),0))</f>
        <v>0</v>
      </c>
      <c r="N521" s="37" t="str">
        <f aca="false">IF(A521="","",IFERROR(INDEX(Customers!$E$5:$E$204,MATCH(C521,Customers!$A$5:$A$204,0)),"?"))</f>
        <v/>
      </c>
      <c r="O521" s="38" t="str">
        <f aca="false">IF(A521="","",IF(N521=Settings!$B$17,"No","Yes"))</f>
        <v/>
      </c>
      <c r="P521" s="35" t="n">
        <f aca="false">IF(O521="Yes",ROUND(L521*M521,2),0)</f>
        <v>0</v>
      </c>
      <c r="Q521" s="35" t="n">
        <f aca="false">IF(O521="No",ROUND(L521*M521/2,2),0)</f>
        <v>0</v>
      </c>
      <c r="R521" s="35" t="n">
        <f aca="false">Q521</f>
        <v>0</v>
      </c>
      <c r="S521" s="35" t="n">
        <f aca="false">L521+P521+Q521+R521</f>
        <v>0</v>
      </c>
      <c r="T521" s="34" t="str">
        <f aca="false">IF(A521="","",IFERROR(INDEX(Customers!$B$5:$B$204,MATCH(C521,Customers!$A$5:$A$204,0))&amp;"",""))</f>
        <v/>
      </c>
      <c r="U521" s="38" t="str">
        <f aca="false">IF(A521="","",IF(T521&lt;&gt;"","B2B",IF(AND(O521="Yes",SUMIF($A$5:$A$1004,A521,$L$5:$L$1004)+SUMIF($A$5:$A$1004,A521,$P$5:$P$1004)&gt;100000),"B2CL","B2CS")))</f>
        <v/>
      </c>
      <c r="V521" s="17" t="str">
        <f aca="false">IF(A521="","",TEXT(B521,"mmm-yyyy"))</f>
        <v/>
      </c>
    </row>
    <row r="522" customFormat="false" ht="15" hidden="false" customHeight="true" outlineLevel="0" collapsed="false">
      <c r="A522" s="24"/>
      <c r="B522" s="39"/>
      <c r="C522" s="24"/>
      <c r="D522" s="24"/>
      <c r="E522" s="40"/>
      <c r="F522" s="29"/>
      <c r="G522" s="30"/>
      <c r="H522" s="17" t="str">
        <f aca="false">IF(A522="","",A522&amp;"|"&amp;COUNTIF(A$5:A522,A522))</f>
        <v/>
      </c>
      <c r="I522" s="33" t="str">
        <f aca="false">IF(A522="","",IFERROR(INDEX(Items!$B$5:$B$304,MATCH(D522,Items!$A$5:$A$304,0))&amp;"",""))</f>
        <v/>
      </c>
      <c r="J522" s="34" t="str">
        <f aca="false">IF(A522="","",IFERROR(INDEX(Items!$C$5:$C$304,MATCH(D522,Items!$A$5:$A$304,0))&amp;"",""))</f>
        <v/>
      </c>
      <c r="K522" s="35" t="n">
        <f aca="false">IF(A522="",0,IF(ISNUMBER(F522),F522,IFERROR(INDEX(Items!$D$5:$D$304,MATCH(D522,Items!$A$5:$A$304,0)),0)))</f>
        <v>0</v>
      </c>
      <c r="L522" s="35" t="n">
        <f aca="false">ROUND(N(E522)*K522*(1-N(G522)),2)</f>
        <v>0</v>
      </c>
      <c r="M522" s="36" t="n">
        <f aca="false">IF(A522="",0,IFERROR(INDEX(Items!$E$5:$E$304,MATCH(D522,Items!$A$5:$A$304,0)),0))</f>
        <v>0</v>
      </c>
      <c r="N522" s="37" t="str">
        <f aca="false">IF(A522="","",IFERROR(INDEX(Customers!$E$5:$E$204,MATCH(C522,Customers!$A$5:$A$204,0)),"?"))</f>
        <v/>
      </c>
      <c r="O522" s="38" t="str">
        <f aca="false">IF(A522="","",IF(N522=Settings!$B$17,"No","Yes"))</f>
        <v/>
      </c>
      <c r="P522" s="35" t="n">
        <f aca="false">IF(O522="Yes",ROUND(L522*M522,2),0)</f>
        <v>0</v>
      </c>
      <c r="Q522" s="35" t="n">
        <f aca="false">IF(O522="No",ROUND(L522*M522/2,2),0)</f>
        <v>0</v>
      </c>
      <c r="R522" s="35" t="n">
        <f aca="false">Q522</f>
        <v>0</v>
      </c>
      <c r="S522" s="35" t="n">
        <f aca="false">L522+P522+Q522+R522</f>
        <v>0</v>
      </c>
      <c r="T522" s="34" t="str">
        <f aca="false">IF(A522="","",IFERROR(INDEX(Customers!$B$5:$B$204,MATCH(C522,Customers!$A$5:$A$204,0))&amp;"",""))</f>
        <v/>
      </c>
      <c r="U522" s="38" t="str">
        <f aca="false">IF(A522="","",IF(T522&lt;&gt;"","B2B",IF(AND(O522="Yes",SUMIF($A$5:$A$1004,A522,$L$5:$L$1004)+SUMIF($A$5:$A$1004,A522,$P$5:$P$1004)&gt;100000),"B2CL","B2CS")))</f>
        <v/>
      </c>
      <c r="V522" s="17" t="str">
        <f aca="false">IF(A522="","",TEXT(B522,"mmm-yyyy"))</f>
        <v/>
      </c>
    </row>
    <row r="523" customFormat="false" ht="15" hidden="false" customHeight="true" outlineLevel="0" collapsed="false">
      <c r="A523" s="24"/>
      <c r="B523" s="39"/>
      <c r="C523" s="24"/>
      <c r="D523" s="24"/>
      <c r="E523" s="40"/>
      <c r="F523" s="29"/>
      <c r="G523" s="30"/>
      <c r="H523" s="17" t="str">
        <f aca="false">IF(A523="","",A523&amp;"|"&amp;COUNTIF(A$5:A523,A523))</f>
        <v/>
      </c>
      <c r="I523" s="33" t="str">
        <f aca="false">IF(A523="","",IFERROR(INDEX(Items!$B$5:$B$304,MATCH(D523,Items!$A$5:$A$304,0))&amp;"",""))</f>
        <v/>
      </c>
      <c r="J523" s="34" t="str">
        <f aca="false">IF(A523="","",IFERROR(INDEX(Items!$C$5:$C$304,MATCH(D523,Items!$A$5:$A$304,0))&amp;"",""))</f>
        <v/>
      </c>
      <c r="K523" s="35" t="n">
        <f aca="false">IF(A523="",0,IF(ISNUMBER(F523),F523,IFERROR(INDEX(Items!$D$5:$D$304,MATCH(D523,Items!$A$5:$A$304,0)),0)))</f>
        <v>0</v>
      </c>
      <c r="L523" s="35" t="n">
        <f aca="false">ROUND(N(E523)*K523*(1-N(G523)),2)</f>
        <v>0</v>
      </c>
      <c r="M523" s="36" t="n">
        <f aca="false">IF(A523="",0,IFERROR(INDEX(Items!$E$5:$E$304,MATCH(D523,Items!$A$5:$A$304,0)),0))</f>
        <v>0</v>
      </c>
      <c r="N523" s="37" t="str">
        <f aca="false">IF(A523="","",IFERROR(INDEX(Customers!$E$5:$E$204,MATCH(C523,Customers!$A$5:$A$204,0)),"?"))</f>
        <v/>
      </c>
      <c r="O523" s="38" t="str">
        <f aca="false">IF(A523="","",IF(N523=Settings!$B$17,"No","Yes"))</f>
        <v/>
      </c>
      <c r="P523" s="35" t="n">
        <f aca="false">IF(O523="Yes",ROUND(L523*M523,2),0)</f>
        <v>0</v>
      </c>
      <c r="Q523" s="35" t="n">
        <f aca="false">IF(O523="No",ROUND(L523*M523/2,2),0)</f>
        <v>0</v>
      </c>
      <c r="R523" s="35" t="n">
        <f aca="false">Q523</f>
        <v>0</v>
      </c>
      <c r="S523" s="35" t="n">
        <f aca="false">L523+P523+Q523+R523</f>
        <v>0</v>
      </c>
      <c r="T523" s="34" t="str">
        <f aca="false">IF(A523="","",IFERROR(INDEX(Customers!$B$5:$B$204,MATCH(C523,Customers!$A$5:$A$204,0))&amp;"",""))</f>
        <v/>
      </c>
      <c r="U523" s="38" t="str">
        <f aca="false">IF(A523="","",IF(T523&lt;&gt;"","B2B",IF(AND(O523="Yes",SUMIF($A$5:$A$1004,A523,$L$5:$L$1004)+SUMIF($A$5:$A$1004,A523,$P$5:$P$1004)&gt;100000),"B2CL","B2CS")))</f>
        <v/>
      </c>
      <c r="V523" s="17" t="str">
        <f aca="false">IF(A523="","",TEXT(B523,"mmm-yyyy"))</f>
        <v/>
      </c>
    </row>
    <row r="524" customFormat="false" ht="15" hidden="false" customHeight="true" outlineLevel="0" collapsed="false">
      <c r="A524" s="24"/>
      <c r="B524" s="39"/>
      <c r="C524" s="24"/>
      <c r="D524" s="24"/>
      <c r="E524" s="40"/>
      <c r="F524" s="29"/>
      <c r="G524" s="30"/>
      <c r="H524" s="17" t="str">
        <f aca="false">IF(A524="","",A524&amp;"|"&amp;COUNTIF(A$5:A524,A524))</f>
        <v/>
      </c>
      <c r="I524" s="33" t="str">
        <f aca="false">IF(A524="","",IFERROR(INDEX(Items!$B$5:$B$304,MATCH(D524,Items!$A$5:$A$304,0))&amp;"",""))</f>
        <v/>
      </c>
      <c r="J524" s="34" t="str">
        <f aca="false">IF(A524="","",IFERROR(INDEX(Items!$C$5:$C$304,MATCH(D524,Items!$A$5:$A$304,0))&amp;"",""))</f>
        <v/>
      </c>
      <c r="K524" s="35" t="n">
        <f aca="false">IF(A524="",0,IF(ISNUMBER(F524),F524,IFERROR(INDEX(Items!$D$5:$D$304,MATCH(D524,Items!$A$5:$A$304,0)),0)))</f>
        <v>0</v>
      </c>
      <c r="L524" s="35" t="n">
        <f aca="false">ROUND(N(E524)*K524*(1-N(G524)),2)</f>
        <v>0</v>
      </c>
      <c r="M524" s="36" t="n">
        <f aca="false">IF(A524="",0,IFERROR(INDEX(Items!$E$5:$E$304,MATCH(D524,Items!$A$5:$A$304,0)),0))</f>
        <v>0</v>
      </c>
      <c r="N524" s="37" t="str">
        <f aca="false">IF(A524="","",IFERROR(INDEX(Customers!$E$5:$E$204,MATCH(C524,Customers!$A$5:$A$204,0)),"?"))</f>
        <v/>
      </c>
      <c r="O524" s="38" t="str">
        <f aca="false">IF(A524="","",IF(N524=Settings!$B$17,"No","Yes"))</f>
        <v/>
      </c>
      <c r="P524" s="35" t="n">
        <f aca="false">IF(O524="Yes",ROUND(L524*M524,2),0)</f>
        <v>0</v>
      </c>
      <c r="Q524" s="35" t="n">
        <f aca="false">IF(O524="No",ROUND(L524*M524/2,2),0)</f>
        <v>0</v>
      </c>
      <c r="R524" s="35" t="n">
        <f aca="false">Q524</f>
        <v>0</v>
      </c>
      <c r="S524" s="35" t="n">
        <f aca="false">L524+P524+Q524+R524</f>
        <v>0</v>
      </c>
      <c r="T524" s="34" t="str">
        <f aca="false">IF(A524="","",IFERROR(INDEX(Customers!$B$5:$B$204,MATCH(C524,Customers!$A$5:$A$204,0))&amp;"",""))</f>
        <v/>
      </c>
      <c r="U524" s="38" t="str">
        <f aca="false">IF(A524="","",IF(T524&lt;&gt;"","B2B",IF(AND(O524="Yes",SUMIF($A$5:$A$1004,A524,$L$5:$L$1004)+SUMIF($A$5:$A$1004,A524,$P$5:$P$1004)&gt;100000),"B2CL","B2CS")))</f>
        <v/>
      </c>
      <c r="V524" s="17" t="str">
        <f aca="false">IF(A524="","",TEXT(B524,"mmm-yyyy"))</f>
        <v/>
      </c>
    </row>
    <row r="525" customFormat="false" ht="15" hidden="false" customHeight="true" outlineLevel="0" collapsed="false">
      <c r="A525" s="24"/>
      <c r="B525" s="39"/>
      <c r="C525" s="24"/>
      <c r="D525" s="24"/>
      <c r="E525" s="40"/>
      <c r="F525" s="29"/>
      <c r="G525" s="30"/>
      <c r="H525" s="17" t="str">
        <f aca="false">IF(A525="","",A525&amp;"|"&amp;COUNTIF(A$5:A525,A525))</f>
        <v/>
      </c>
      <c r="I525" s="33" t="str">
        <f aca="false">IF(A525="","",IFERROR(INDEX(Items!$B$5:$B$304,MATCH(D525,Items!$A$5:$A$304,0))&amp;"",""))</f>
        <v/>
      </c>
      <c r="J525" s="34" t="str">
        <f aca="false">IF(A525="","",IFERROR(INDEX(Items!$C$5:$C$304,MATCH(D525,Items!$A$5:$A$304,0))&amp;"",""))</f>
        <v/>
      </c>
      <c r="K525" s="35" t="n">
        <f aca="false">IF(A525="",0,IF(ISNUMBER(F525),F525,IFERROR(INDEX(Items!$D$5:$D$304,MATCH(D525,Items!$A$5:$A$304,0)),0)))</f>
        <v>0</v>
      </c>
      <c r="L525" s="35" t="n">
        <f aca="false">ROUND(N(E525)*K525*(1-N(G525)),2)</f>
        <v>0</v>
      </c>
      <c r="M525" s="36" t="n">
        <f aca="false">IF(A525="",0,IFERROR(INDEX(Items!$E$5:$E$304,MATCH(D525,Items!$A$5:$A$304,0)),0))</f>
        <v>0</v>
      </c>
      <c r="N525" s="37" t="str">
        <f aca="false">IF(A525="","",IFERROR(INDEX(Customers!$E$5:$E$204,MATCH(C525,Customers!$A$5:$A$204,0)),"?"))</f>
        <v/>
      </c>
      <c r="O525" s="38" t="str">
        <f aca="false">IF(A525="","",IF(N525=Settings!$B$17,"No","Yes"))</f>
        <v/>
      </c>
      <c r="P525" s="35" t="n">
        <f aca="false">IF(O525="Yes",ROUND(L525*M525,2),0)</f>
        <v>0</v>
      </c>
      <c r="Q525" s="35" t="n">
        <f aca="false">IF(O525="No",ROUND(L525*M525/2,2),0)</f>
        <v>0</v>
      </c>
      <c r="R525" s="35" t="n">
        <f aca="false">Q525</f>
        <v>0</v>
      </c>
      <c r="S525" s="35" t="n">
        <f aca="false">L525+P525+Q525+R525</f>
        <v>0</v>
      </c>
      <c r="T525" s="34" t="str">
        <f aca="false">IF(A525="","",IFERROR(INDEX(Customers!$B$5:$B$204,MATCH(C525,Customers!$A$5:$A$204,0))&amp;"",""))</f>
        <v/>
      </c>
      <c r="U525" s="38" t="str">
        <f aca="false">IF(A525="","",IF(T525&lt;&gt;"","B2B",IF(AND(O525="Yes",SUMIF($A$5:$A$1004,A525,$L$5:$L$1004)+SUMIF($A$5:$A$1004,A525,$P$5:$P$1004)&gt;100000),"B2CL","B2CS")))</f>
        <v/>
      </c>
      <c r="V525" s="17" t="str">
        <f aca="false">IF(A525="","",TEXT(B525,"mmm-yyyy"))</f>
        <v/>
      </c>
    </row>
    <row r="526" customFormat="false" ht="15" hidden="false" customHeight="true" outlineLevel="0" collapsed="false">
      <c r="A526" s="24"/>
      <c r="B526" s="39"/>
      <c r="C526" s="24"/>
      <c r="D526" s="24"/>
      <c r="E526" s="40"/>
      <c r="F526" s="29"/>
      <c r="G526" s="30"/>
      <c r="H526" s="17" t="str">
        <f aca="false">IF(A526="","",A526&amp;"|"&amp;COUNTIF(A$5:A526,A526))</f>
        <v/>
      </c>
      <c r="I526" s="33" t="str">
        <f aca="false">IF(A526="","",IFERROR(INDEX(Items!$B$5:$B$304,MATCH(D526,Items!$A$5:$A$304,0))&amp;"",""))</f>
        <v/>
      </c>
      <c r="J526" s="34" t="str">
        <f aca="false">IF(A526="","",IFERROR(INDEX(Items!$C$5:$C$304,MATCH(D526,Items!$A$5:$A$304,0))&amp;"",""))</f>
        <v/>
      </c>
      <c r="K526" s="35" t="n">
        <f aca="false">IF(A526="",0,IF(ISNUMBER(F526),F526,IFERROR(INDEX(Items!$D$5:$D$304,MATCH(D526,Items!$A$5:$A$304,0)),0)))</f>
        <v>0</v>
      </c>
      <c r="L526" s="35" t="n">
        <f aca="false">ROUND(N(E526)*K526*(1-N(G526)),2)</f>
        <v>0</v>
      </c>
      <c r="M526" s="36" t="n">
        <f aca="false">IF(A526="",0,IFERROR(INDEX(Items!$E$5:$E$304,MATCH(D526,Items!$A$5:$A$304,0)),0))</f>
        <v>0</v>
      </c>
      <c r="N526" s="37" t="str">
        <f aca="false">IF(A526="","",IFERROR(INDEX(Customers!$E$5:$E$204,MATCH(C526,Customers!$A$5:$A$204,0)),"?"))</f>
        <v/>
      </c>
      <c r="O526" s="38" t="str">
        <f aca="false">IF(A526="","",IF(N526=Settings!$B$17,"No","Yes"))</f>
        <v/>
      </c>
      <c r="P526" s="35" t="n">
        <f aca="false">IF(O526="Yes",ROUND(L526*M526,2),0)</f>
        <v>0</v>
      </c>
      <c r="Q526" s="35" t="n">
        <f aca="false">IF(O526="No",ROUND(L526*M526/2,2),0)</f>
        <v>0</v>
      </c>
      <c r="R526" s="35" t="n">
        <f aca="false">Q526</f>
        <v>0</v>
      </c>
      <c r="S526" s="35" t="n">
        <f aca="false">L526+P526+Q526+R526</f>
        <v>0</v>
      </c>
      <c r="T526" s="34" t="str">
        <f aca="false">IF(A526="","",IFERROR(INDEX(Customers!$B$5:$B$204,MATCH(C526,Customers!$A$5:$A$204,0))&amp;"",""))</f>
        <v/>
      </c>
      <c r="U526" s="38" t="str">
        <f aca="false">IF(A526="","",IF(T526&lt;&gt;"","B2B",IF(AND(O526="Yes",SUMIF($A$5:$A$1004,A526,$L$5:$L$1004)+SUMIF($A$5:$A$1004,A526,$P$5:$P$1004)&gt;100000),"B2CL","B2CS")))</f>
        <v/>
      </c>
      <c r="V526" s="17" t="str">
        <f aca="false">IF(A526="","",TEXT(B526,"mmm-yyyy"))</f>
        <v/>
      </c>
    </row>
    <row r="527" customFormat="false" ht="15" hidden="false" customHeight="true" outlineLevel="0" collapsed="false">
      <c r="A527" s="24"/>
      <c r="B527" s="39"/>
      <c r="C527" s="24"/>
      <c r="D527" s="24"/>
      <c r="E527" s="40"/>
      <c r="F527" s="29"/>
      <c r="G527" s="30"/>
      <c r="H527" s="17" t="str">
        <f aca="false">IF(A527="","",A527&amp;"|"&amp;COUNTIF(A$5:A527,A527))</f>
        <v/>
      </c>
      <c r="I527" s="33" t="str">
        <f aca="false">IF(A527="","",IFERROR(INDEX(Items!$B$5:$B$304,MATCH(D527,Items!$A$5:$A$304,0))&amp;"",""))</f>
        <v/>
      </c>
      <c r="J527" s="34" t="str">
        <f aca="false">IF(A527="","",IFERROR(INDEX(Items!$C$5:$C$304,MATCH(D527,Items!$A$5:$A$304,0))&amp;"",""))</f>
        <v/>
      </c>
      <c r="K527" s="35" t="n">
        <f aca="false">IF(A527="",0,IF(ISNUMBER(F527),F527,IFERROR(INDEX(Items!$D$5:$D$304,MATCH(D527,Items!$A$5:$A$304,0)),0)))</f>
        <v>0</v>
      </c>
      <c r="L527" s="35" t="n">
        <f aca="false">ROUND(N(E527)*K527*(1-N(G527)),2)</f>
        <v>0</v>
      </c>
      <c r="M527" s="36" t="n">
        <f aca="false">IF(A527="",0,IFERROR(INDEX(Items!$E$5:$E$304,MATCH(D527,Items!$A$5:$A$304,0)),0))</f>
        <v>0</v>
      </c>
      <c r="N527" s="37" t="str">
        <f aca="false">IF(A527="","",IFERROR(INDEX(Customers!$E$5:$E$204,MATCH(C527,Customers!$A$5:$A$204,0)),"?"))</f>
        <v/>
      </c>
      <c r="O527" s="38" t="str">
        <f aca="false">IF(A527="","",IF(N527=Settings!$B$17,"No","Yes"))</f>
        <v/>
      </c>
      <c r="P527" s="35" t="n">
        <f aca="false">IF(O527="Yes",ROUND(L527*M527,2),0)</f>
        <v>0</v>
      </c>
      <c r="Q527" s="35" t="n">
        <f aca="false">IF(O527="No",ROUND(L527*M527/2,2),0)</f>
        <v>0</v>
      </c>
      <c r="R527" s="35" t="n">
        <f aca="false">Q527</f>
        <v>0</v>
      </c>
      <c r="S527" s="35" t="n">
        <f aca="false">L527+P527+Q527+R527</f>
        <v>0</v>
      </c>
      <c r="T527" s="34" t="str">
        <f aca="false">IF(A527="","",IFERROR(INDEX(Customers!$B$5:$B$204,MATCH(C527,Customers!$A$5:$A$204,0))&amp;"",""))</f>
        <v/>
      </c>
      <c r="U527" s="38" t="str">
        <f aca="false">IF(A527="","",IF(T527&lt;&gt;"","B2B",IF(AND(O527="Yes",SUMIF($A$5:$A$1004,A527,$L$5:$L$1004)+SUMIF($A$5:$A$1004,A527,$P$5:$P$1004)&gt;100000),"B2CL","B2CS")))</f>
        <v/>
      </c>
      <c r="V527" s="17" t="str">
        <f aca="false">IF(A527="","",TEXT(B527,"mmm-yyyy"))</f>
        <v/>
      </c>
    </row>
    <row r="528" customFormat="false" ht="15" hidden="false" customHeight="true" outlineLevel="0" collapsed="false">
      <c r="A528" s="24"/>
      <c r="B528" s="39"/>
      <c r="C528" s="24"/>
      <c r="D528" s="24"/>
      <c r="E528" s="40"/>
      <c r="F528" s="29"/>
      <c r="G528" s="30"/>
      <c r="H528" s="17" t="str">
        <f aca="false">IF(A528="","",A528&amp;"|"&amp;COUNTIF(A$5:A528,A528))</f>
        <v/>
      </c>
      <c r="I528" s="33" t="str">
        <f aca="false">IF(A528="","",IFERROR(INDEX(Items!$B$5:$B$304,MATCH(D528,Items!$A$5:$A$304,0))&amp;"",""))</f>
        <v/>
      </c>
      <c r="J528" s="34" t="str">
        <f aca="false">IF(A528="","",IFERROR(INDEX(Items!$C$5:$C$304,MATCH(D528,Items!$A$5:$A$304,0))&amp;"",""))</f>
        <v/>
      </c>
      <c r="K528" s="35" t="n">
        <f aca="false">IF(A528="",0,IF(ISNUMBER(F528),F528,IFERROR(INDEX(Items!$D$5:$D$304,MATCH(D528,Items!$A$5:$A$304,0)),0)))</f>
        <v>0</v>
      </c>
      <c r="L528" s="35" t="n">
        <f aca="false">ROUND(N(E528)*K528*(1-N(G528)),2)</f>
        <v>0</v>
      </c>
      <c r="M528" s="36" t="n">
        <f aca="false">IF(A528="",0,IFERROR(INDEX(Items!$E$5:$E$304,MATCH(D528,Items!$A$5:$A$304,0)),0))</f>
        <v>0</v>
      </c>
      <c r="N528" s="37" t="str">
        <f aca="false">IF(A528="","",IFERROR(INDEX(Customers!$E$5:$E$204,MATCH(C528,Customers!$A$5:$A$204,0)),"?"))</f>
        <v/>
      </c>
      <c r="O528" s="38" t="str">
        <f aca="false">IF(A528="","",IF(N528=Settings!$B$17,"No","Yes"))</f>
        <v/>
      </c>
      <c r="P528" s="35" t="n">
        <f aca="false">IF(O528="Yes",ROUND(L528*M528,2),0)</f>
        <v>0</v>
      </c>
      <c r="Q528" s="35" t="n">
        <f aca="false">IF(O528="No",ROUND(L528*M528/2,2),0)</f>
        <v>0</v>
      </c>
      <c r="R528" s="35" t="n">
        <f aca="false">Q528</f>
        <v>0</v>
      </c>
      <c r="S528" s="35" t="n">
        <f aca="false">L528+P528+Q528+R528</f>
        <v>0</v>
      </c>
      <c r="T528" s="34" t="str">
        <f aca="false">IF(A528="","",IFERROR(INDEX(Customers!$B$5:$B$204,MATCH(C528,Customers!$A$5:$A$204,0))&amp;"",""))</f>
        <v/>
      </c>
      <c r="U528" s="38" t="str">
        <f aca="false">IF(A528="","",IF(T528&lt;&gt;"","B2B",IF(AND(O528="Yes",SUMIF($A$5:$A$1004,A528,$L$5:$L$1004)+SUMIF($A$5:$A$1004,A528,$P$5:$P$1004)&gt;100000),"B2CL","B2CS")))</f>
        <v/>
      </c>
      <c r="V528" s="17" t="str">
        <f aca="false">IF(A528="","",TEXT(B528,"mmm-yyyy"))</f>
        <v/>
      </c>
    </row>
    <row r="529" customFormat="false" ht="15" hidden="false" customHeight="true" outlineLevel="0" collapsed="false">
      <c r="A529" s="24"/>
      <c r="B529" s="39"/>
      <c r="C529" s="24"/>
      <c r="D529" s="24"/>
      <c r="E529" s="40"/>
      <c r="F529" s="29"/>
      <c r="G529" s="30"/>
      <c r="H529" s="17" t="str">
        <f aca="false">IF(A529="","",A529&amp;"|"&amp;COUNTIF(A$5:A529,A529))</f>
        <v/>
      </c>
      <c r="I529" s="33" t="str">
        <f aca="false">IF(A529="","",IFERROR(INDEX(Items!$B$5:$B$304,MATCH(D529,Items!$A$5:$A$304,0))&amp;"",""))</f>
        <v/>
      </c>
      <c r="J529" s="34" t="str">
        <f aca="false">IF(A529="","",IFERROR(INDEX(Items!$C$5:$C$304,MATCH(D529,Items!$A$5:$A$304,0))&amp;"",""))</f>
        <v/>
      </c>
      <c r="K529" s="35" t="n">
        <f aca="false">IF(A529="",0,IF(ISNUMBER(F529),F529,IFERROR(INDEX(Items!$D$5:$D$304,MATCH(D529,Items!$A$5:$A$304,0)),0)))</f>
        <v>0</v>
      </c>
      <c r="L529" s="35" t="n">
        <f aca="false">ROUND(N(E529)*K529*(1-N(G529)),2)</f>
        <v>0</v>
      </c>
      <c r="M529" s="36" t="n">
        <f aca="false">IF(A529="",0,IFERROR(INDEX(Items!$E$5:$E$304,MATCH(D529,Items!$A$5:$A$304,0)),0))</f>
        <v>0</v>
      </c>
      <c r="N529" s="37" t="str">
        <f aca="false">IF(A529="","",IFERROR(INDEX(Customers!$E$5:$E$204,MATCH(C529,Customers!$A$5:$A$204,0)),"?"))</f>
        <v/>
      </c>
      <c r="O529" s="38" t="str">
        <f aca="false">IF(A529="","",IF(N529=Settings!$B$17,"No","Yes"))</f>
        <v/>
      </c>
      <c r="P529" s="35" t="n">
        <f aca="false">IF(O529="Yes",ROUND(L529*M529,2),0)</f>
        <v>0</v>
      </c>
      <c r="Q529" s="35" t="n">
        <f aca="false">IF(O529="No",ROUND(L529*M529/2,2),0)</f>
        <v>0</v>
      </c>
      <c r="R529" s="35" t="n">
        <f aca="false">Q529</f>
        <v>0</v>
      </c>
      <c r="S529" s="35" t="n">
        <f aca="false">L529+P529+Q529+R529</f>
        <v>0</v>
      </c>
      <c r="T529" s="34" t="str">
        <f aca="false">IF(A529="","",IFERROR(INDEX(Customers!$B$5:$B$204,MATCH(C529,Customers!$A$5:$A$204,0))&amp;"",""))</f>
        <v/>
      </c>
      <c r="U529" s="38" t="str">
        <f aca="false">IF(A529="","",IF(T529&lt;&gt;"","B2B",IF(AND(O529="Yes",SUMIF($A$5:$A$1004,A529,$L$5:$L$1004)+SUMIF($A$5:$A$1004,A529,$P$5:$P$1004)&gt;100000),"B2CL","B2CS")))</f>
        <v/>
      </c>
      <c r="V529" s="17" t="str">
        <f aca="false">IF(A529="","",TEXT(B529,"mmm-yyyy"))</f>
        <v/>
      </c>
    </row>
    <row r="530" customFormat="false" ht="15" hidden="false" customHeight="true" outlineLevel="0" collapsed="false">
      <c r="A530" s="24"/>
      <c r="B530" s="39"/>
      <c r="C530" s="24"/>
      <c r="D530" s="24"/>
      <c r="E530" s="40"/>
      <c r="F530" s="29"/>
      <c r="G530" s="30"/>
      <c r="H530" s="17" t="str">
        <f aca="false">IF(A530="","",A530&amp;"|"&amp;COUNTIF(A$5:A530,A530))</f>
        <v/>
      </c>
      <c r="I530" s="33" t="str">
        <f aca="false">IF(A530="","",IFERROR(INDEX(Items!$B$5:$B$304,MATCH(D530,Items!$A$5:$A$304,0))&amp;"",""))</f>
        <v/>
      </c>
      <c r="J530" s="34" t="str">
        <f aca="false">IF(A530="","",IFERROR(INDEX(Items!$C$5:$C$304,MATCH(D530,Items!$A$5:$A$304,0))&amp;"",""))</f>
        <v/>
      </c>
      <c r="K530" s="35" t="n">
        <f aca="false">IF(A530="",0,IF(ISNUMBER(F530),F530,IFERROR(INDEX(Items!$D$5:$D$304,MATCH(D530,Items!$A$5:$A$304,0)),0)))</f>
        <v>0</v>
      </c>
      <c r="L530" s="35" t="n">
        <f aca="false">ROUND(N(E530)*K530*(1-N(G530)),2)</f>
        <v>0</v>
      </c>
      <c r="M530" s="36" t="n">
        <f aca="false">IF(A530="",0,IFERROR(INDEX(Items!$E$5:$E$304,MATCH(D530,Items!$A$5:$A$304,0)),0))</f>
        <v>0</v>
      </c>
      <c r="N530" s="37" t="str">
        <f aca="false">IF(A530="","",IFERROR(INDEX(Customers!$E$5:$E$204,MATCH(C530,Customers!$A$5:$A$204,0)),"?"))</f>
        <v/>
      </c>
      <c r="O530" s="38" t="str">
        <f aca="false">IF(A530="","",IF(N530=Settings!$B$17,"No","Yes"))</f>
        <v/>
      </c>
      <c r="P530" s="35" t="n">
        <f aca="false">IF(O530="Yes",ROUND(L530*M530,2),0)</f>
        <v>0</v>
      </c>
      <c r="Q530" s="35" t="n">
        <f aca="false">IF(O530="No",ROUND(L530*M530/2,2),0)</f>
        <v>0</v>
      </c>
      <c r="R530" s="35" t="n">
        <f aca="false">Q530</f>
        <v>0</v>
      </c>
      <c r="S530" s="35" t="n">
        <f aca="false">L530+P530+Q530+R530</f>
        <v>0</v>
      </c>
      <c r="T530" s="34" t="str">
        <f aca="false">IF(A530="","",IFERROR(INDEX(Customers!$B$5:$B$204,MATCH(C530,Customers!$A$5:$A$204,0))&amp;"",""))</f>
        <v/>
      </c>
      <c r="U530" s="38" t="str">
        <f aca="false">IF(A530="","",IF(T530&lt;&gt;"","B2B",IF(AND(O530="Yes",SUMIF($A$5:$A$1004,A530,$L$5:$L$1004)+SUMIF($A$5:$A$1004,A530,$P$5:$P$1004)&gt;100000),"B2CL","B2CS")))</f>
        <v/>
      </c>
      <c r="V530" s="17" t="str">
        <f aca="false">IF(A530="","",TEXT(B530,"mmm-yyyy"))</f>
        <v/>
      </c>
    </row>
    <row r="531" customFormat="false" ht="15" hidden="false" customHeight="true" outlineLevel="0" collapsed="false">
      <c r="A531" s="24"/>
      <c r="B531" s="39"/>
      <c r="C531" s="24"/>
      <c r="D531" s="24"/>
      <c r="E531" s="40"/>
      <c r="F531" s="29"/>
      <c r="G531" s="30"/>
      <c r="H531" s="17" t="str">
        <f aca="false">IF(A531="","",A531&amp;"|"&amp;COUNTIF(A$5:A531,A531))</f>
        <v/>
      </c>
      <c r="I531" s="33" t="str">
        <f aca="false">IF(A531="","",IFERROR(INDEX(Items!$B$5:$B$304,MATCH(D531,Items!$A$5:$A$304,0))&amp;"",""))</f>
        <v/>
      </c>
      <c r="J531" s="34" t="str">
        <f aca="false">IF(A531="","",IFERROR(INDEX(Items!$C$5:$C$304,MATCH(D531,Items!$A$5:$A$304,0))&amp;"",""))</f>
        <v/>
      </c>
      <c r="K531" s="35" t="n">
        <f aca="false">IF(A531="",0,IF(ISNUMBER(F531),F531,IFERROR(INDEX(Items!$D$5:$D$304,MATCH(D531,Items!$A$5:$A$304,0)),0)))</f>
        <v>0</v>
      </c>
      <c r="L531" s="35" t="n">
        <f aca="false">ROUND(N(E531)*K531*(1-N(G531)),2)</f>
        <v>0</v>
      </c>
      <c r="M531" s="36" t="n">
        <f aca="false">IF(A531="",0,IFERROR(INDEX(Items!$E$5:$E$304,MATCH(D531,Items!$A$5:$A$304,0)),0))</f>
        <v>0</v>
      </c>
      <c r="N531" s="37" t="str">
        <f aca="false">IF(A531="","",IFERROR(INDEX(Customers!$E$5:$E$204,MATCH(C531,Customers!$A$5:$A$204,0)),"?"))</f>
        <v/>
      </c>
      <c r="O531" s="38" t="str">
        <f aca="false">IF(A531="","",IF(N531=Settings!$B$17,"No","Yes"))</f>
        <v/>
      </c>
      <c r="P531" s="35" t="n">
        <f aca="false">IF(O531="Yes",ROUND(L531*M531,2),0)</f>
        <v>0</v>
      </c>
      <c r="Q531" s="35" t="n">
        <f aca="false">IF(O531="No",ROUND(L531*M531/2,2),0)</f>
        <v>0</v>
      </c>
      <c r="R531" s="35" t="n">
        <f aca="false">Q531</f>
        <v>0</v>
      </c>
      <c r="S531" s="35" t="n">
        <f aca="false">L531+P531+Q531+R531</f>
        <v>0</v>
      </c>
      <c r="T531" s="34" t="str">
        <f aca="false">IF(A531="","",IFERROR(INDEX(Customers!$B$5:$B$204,MATCH(C531,Customers!$A$5:$A$204,0))&amp;"",""))</f>
        <v/>
      </c>
      <c r="U531" s="38" t="str">
        <f aca="false">IF(A531="","",IF(T531&lt;&gt;"","B2B",IF(AND(O531="Yes",SUMIF($A$5:$A$1004,A531,$L$5:$L$1004)+SUMIF($A$5:$A$1004,A531,$P$5:$P$1004)&gt;100000),"B2CL","B2CS")))</f>
        <v/>
      </c>
      <c r="V531" s="17" t="str">
        <f aca="false">IF(A531="","",TEXT(B531,"mmm-yyyy"))</f>
        <v/>
      </c>
    </row>
    <row r="532" customFormat="false" ht="15" hidden="false" customHeight="true" outlineLevel="0" collapsed="false">
      <c r="A532" s="24"/>
      <c r="B532" s="39"/>
      <c r="C532" s="24"/>
      <c r="D532" s="24"/>
      <c r="E532" s="40"/>
      <c r="F532" s="29"/>
      <c r="G532" s="30"/>
      <c r="H532" s="17" t="str">
        <f aca="false">IF(A532="","",A532&amp;"|"&amp;COUNTIF(A$5:A532,A532))</f>
        <v/>
      </c>
      <c r="I532" s="33" t="str">
        <f aca="false">IF(A532="","",IFERROR(INDEX(Items!$B$5:$B$304,MATCH(D532,Items!$A$5:$A$304,0))&amp;"",""))</f>
        <v/>
      </c>
      <c r="J532" s="34" t="str">
        <f aca="false">IF(A532="","",IFERROR(INDEX(Items!$C$5:$C$304,MATCH(D532,Items!$A$5:$A$304,0))&amp;"",""))</f>
        <v/>
      </c>
      <c r="K532" s="35" t="n">
        <f aca="false">IF(A532="",0,IF(ISNUMBER(F532),F532,IFERROR(INDEX(Items!$D$5:$D$304,MATCH(D532,Items!$A$5:$A$304,0)),0)))</f>
        <v>0</v>
      </c>
      <c r="L532" s="35" t="n">
        <f aca="false">ROUND(N(E532)*K532*(1-N(G532)),2)</f>
        <v>0</v>
      </c>
      <c r="M532" s="36" t="n">
        <f aca="false">IF(A532="",0,IFERROR(INDEX(Items!$E$5:$E$304,MATCH(D532,Items!$A$5:$A$304,0)),0))</f>
        <v>0</v>
      </c>
      <c r="N532" s="37" t="str">
        <f aca="false">IF(A532="","",IFERROR(INDEX(Customers!$E$5:$E$204,MATCH(C532,Customers!$A$5:$A$204,0)),"?"))</f>
        <v/>
      </c>
      <c r="O532" s="38" t="str">
        <f aca="false">IF(A532="","",IF(N532=Settings!$B$17,"No","Yes"))</f>
        <v/>
      </c>
      <c r="P532" s="35" t="n">
        <f aca="false">IF(O532="Yes",ROUND(L532*M532,2),0)</f>
        <v>0</v>
      </c>
      <c r="Q532" s="35" t="n">
        <f aca="false">IF(O532="No",ROUND(L532*M532/2,2),0)</f>
        <v>0</v>
      </c>
      <c r="R532" s="35" t="n">
        <f aca="false">Q532</f>
        <v>0</v>
      </c>
      <c r="S532" s="35" t="n">
        <f aca="false">L532+P532+Q532+R532</f>
        <v>0</v>
      </c>
      <c r="T532" s="34" t="str">
        <f aca="false">IF(A532="","",IFERROR(INDEX(Customers!$B$5:$B$204,MATCH(C532,Customers!$A$5:$A$204,0))&amp;"",""))</f>
        <v/>
      </c>
      <c r="U532" s="38" t="str">
        <f aca="false">IF(A532="","",IF(T532&lt;&gt;"","B2B",IF(AND(O532="Yes",SUMIF($A$5:$A$1004,A532,$L$5:$L$1004)+SUMIF($A$5:$A$1004,A532,$P$5:$P$1004)&gt;100000),"B2CL","B2CS")))</f>
        <v/>
      </c>
      <c r="V532" s="17" t="str">
        <f aca="false">IF(A532="","",TEXT(B532,"mmm-yyyy"))</f>
        <v/>
      </c>
    </row>
    <row r="533" customFormat="false" ht="15" hidden="false" customHeight="true" outlineLevel="0" collapsed="false">
      <c r="A533" s="24"/>
      <c r="B533" s="39"/>
      <c r="C533" s="24"/>
      <c r="D533" s="24"/>
      <c r="E533" s="40"/>
      <c r="F533" s="29"/>
      <c r="G533" s="30"/>
      <c r="H533" s="17" t="str">
        <f aca="false">IF(A533="","",A533&amp;"|"&amp;COUNTIF(A$5:A533,A533))</f>
        <v/>
      </c>
      <c r="I533" s="33" t="str">
        <f aca="false">IF(A533="","",IFERROR(INDEX(Items!$B$5:$B$304,MATCH(D533,Items!$A$5:$A$304,0))&amp;"",""))</f>
        <v/>
      </c>
      <c r="J533" s="34" t="str">
        <f aca="false">IF(A533="","",IFERROR(INDEX(Items!$C$5:$C$304,MATCH(D533,Items!$A$5:$A$304,0))&amp;"",""))</f>
        <v/>
      </c>
      <c r="K533" s="35" t="n">
        <f aca="false">IF(A533="",0,IF(ISNUMBER(F533),F533,IFERROR(INDEX(Items!$D$5:$D$304,MATCH(D533,Items!$A$5:$A$304,0)),0)))</f>
        <v>0</v>
      </c>
      <c r="L533" s="35" t="n">
        <f aca="false">ROUND(N(E533)*K533*(1-N(G533)),2)</f>
        <v>0</v>
      </c>
      <c r="M533" s="36" t="n">
        <f aca="false">IF(A533="",0,IFERROR(INDEX(Items!$E$5:$E$304,MATCH(D533,Items!$A$5:$A$304,0)),0))</f>
        <v>0</v>
      </c>
      <c r="N533" s="37" t="str">
        <f aca="false">IF(A533="","",IFERROR(INDEX(Customers!$E$5:$E$204,MATCH(C533,Customers!$A$5:$A$204,0)),"?"))</f>
        <v/>
      </c>
      <c r="O533" s="38" t="str">
        <f aca="false">IF(A533="","",IF(N533=Settings!$B$17,"No","Yes"))</f>
        <v/>
      </c>
      <c r="P533" s="35" t="n">
        <f aca="false">IF(O533="Yes",ROUND(L533*M533,2),0)</f>
        <v>0</v>
      </c>
      <c r="Q533" s="35" t="n">
        <f aca="false">IF(O533="No",ROUND(L533*M533/2,2),0)</f>
        <v>0</v>
      </c>
      <c r="R533" s="35" t="n">
        <f aca="false">Q533</f>
        <v>0</v>
      </c>
      <c r="S533" s="35" t="n">
        <f aca="false">L533+P533+Q533+R533</f>
        <v>0</v>
      </c>
      <c r="T533" s="34" t="str">
        <f aca="false">IF(A533="","",IFERROR(INDEX(Customers!$B$5:$B$204,MATCH(C533,Customers!$A$5:$A$204,0))&amp;"",""))</f>
        <v/>
      </c>
      <c r="U533" s="38" t="str">
        <f aca="false">IF(A533="","",IF(T533&lt;&gt;"","B2B",IF(AND(O533="Yes",SUMIF($A$5:$A$1004,A533,$L$5:$L$1004)+SUMIF($A$5:$A$1004,A533,$P$5:$P$1004)&gt;100000),"B2CL","B2CS")))</f>
        <v/>
      </c>
      <c r="V533" s="17" t="str">
        <f aca="false">IF(A533="","",TEXT(B533,"mmm-yyyy"))</f>
        <v/>
      </c>
    </row>
    <row r="534" customFormat="false" ht="15" hidden="false" customHeight="true" outlineLevel="0" collapsed="false">
      <c r="A534" s="24"/>
      <c r="B534" s="39"/>
      <c r="C534" s="24"/>
      <c r="D534" s="24"/>
      <c r="E534" s="40"/>
      <c r="F534" s="29"/>
      <c r="G534" s="30"/>
      <c r="H534" s="17" t="str">
        <f aca="false">IF(A534="","",A534&amp;"|"&amp;COUNTIF(A$5:A534,A534))</f>
        <v/>
      </c>
      <c r="I534" s="33" t="str">
        <f aca="false">IF(A534="","",IFERROR(INDEX(Items!$B$5:$B$304,MATCH(D534,Items!$A$5:$A$304,0))&amp;"",""))</f>
        <v/>
      </c>
      <c r="J534" s="34" t="str">
        <f aca="false">IF(A534="","",IFERROR(INDEX(Items!$C$5:$C$304,MATCH(D534,Items!$A$5:$A$304,0))&amp;"",""))</f>
        <v/>
      </c>
      <c r="K534" s="35" t="n">
        <f aca="false">IF(A534="",0,IF(ISNUMBER(F534),F534,IFERROR(INDEX(Items!$D$5:$D$304,MATCH(D534,Items!$A$5:$A$304,0)),0)))</f>
        <v>0</v>
      </c>
      <c r="L534" s="35" t="n">
        <f aca="false">ROUND(N(E534)*K534*(1-N(G534)),2)</f>
        <v>0</v>
      </c>
      <c r="M534" s="36" t="n">
        <f aca="false">IF(A534="",0,IFERROR(INDEX(Items!$E$5:$E$304,MATCH(D534,Items!$A$5:$A$304,0)),0))</f>
        <v>0</v>
      </c>
      <c r="N534" s="37" t="str">
        <f aca="false">IF(A534="","",IFERROR(INDEX(Customers!$E$5:$E$204,MATCH(C534,Customers!$A$5:$A$204,0)),"?"))</f>
        <v/>
      </c>
      <c r="O534" s="38" t="str">
        <f aca="false">IF(A534="","",IF(N534=Settings!$B$17,"No","Yes"))</f>
        <v/>
      </c>
      <c r="P534" s="35" t="n">
        <f aca="false">IF(O534="Yes",ROUND(L534*M534,2),0)</f>
        <v>0</v>
      </c>
      <c r="Q534" s="35" t="n">
        <f aca="false">IF(O534="No",ROUND(L534*M534/2,2),0)</f>
        <v>0</v>
      </c>
      <c r="R534" s="35" t="n">
        <f aca="false">Q534</f>
        <v>0</v>
      </c>
      <c r="S534" s="35" t="n">
        <f aca="false">L534+P534+Q534+R534</f>
        <v>0</v>
      </c>
      <c r="T534" s="34" t="str">
        <f aca="false">IF(A534="","",IFERROR(INDEX(Customers!$B$5:$B$204,MATCH(C534,Customers!$A$5:$A$204,0))&amp;"",""))</f>
        <v/>
      </c>
      <c r="U534" s="38" t="str">
        <f aca="false">IF(A534="","",IF(T534&lt;&gt;"","B2B",IF(AND(O534="Yes",SUMIF($A$5:$A$1004,A534,$L$5:$L$1004)+SUMIF($A$5:$A$1004,A534,$P$5:$P$1004)&gt;100000),"B2CL","B2CS")))</f>
        <v/>
      </c>
      <c r="V534" s="17" t="str">
        <f aca="false">IF(A534="","",TEXT(B534,"mmm-yyyy"))</f>
        <v/>
      </c>
    </row>
    <row r="535" customFormat="false" ht="15" hidden="false" customHeight="true" outlineLevel="0" collapsed="false">
      <c r="A535" s="24"/>
      <c r="B535" s="39"/>
      <c r="C535" s="24"/>
      <c r="D535" s="24"/>
      <c r="E535" s="40"/>
      <c r="F535" s="29"/>
      <c r="G535" s="30"/>
      <c r="H535" s="17" t="str">
        <f aca="false">IF(A535="","",A535&amp;"|"&amp;COUNTIF(A$5:A535,A535))</f>
        <v/>
      </c>
      <c r="I535" s="33" t="str">
        <f aca="false">IF(A535="","",IFERROR(INDEX(Items!$B$5:$B$304,MATCH(D535,Items!$A$5:$A$304,0))&amp;"",""))</f>
        <v/>
      </c>
      <c r="J535" s="34" t="str">
        <f aca="false">IF(A535="","",IFERROR(INDEX(Items!$C$5:$C$304,MATCH(D535,Items!$A$5:$A$304,0))&amp;"",""))</f>
        <v/>
      </c>
      <c r="K535" s="35" t="n">
        <f aca="false">IF(A535="",0,IF(ISNUMBER(F535),F535,IFERROR(INDEX(Items!$D$5:$D$304,MATCH(D535,Items!$A$5:$A$304,0)),0)))</f>
        <v>0</v>
      </c>
      <c r="L535" s="35" t="n">
        <f aca="false">ROUND(N(E535)*K535*(1-N(G535)),2)</f>
        <v>0</v>
      </c>
      <c r="M535" s="36" t="n">
        <f aca="false">IF(A535="",0,IFERROR(INDEX(Items!$E$5:$E$304,MATCH(D535,Items!$A$5:$A$304,0)),0))</f>
        <v>0</v>
      </c>
      <c r="N535" s="37" t="str">
        <f aca="false">IF(A535="","",IFERROR(INDEX(Customers!$E$5:$E$204,MATCH(C535,Customers!$A$5:$A$204,0)),"?"))</f>
        <v/>
      </c>
      <c r="O535" s="38" t="str">
        <f aca="false">IF(A535="","",IF(N535=Settings!$B$17,"No","Yes"))</f>
        <v/>
      </c>
      <c r="P535" s="35" t="n">
        <f aca="false">IF(O535="Yes",ROUND(L535*M535,2),0)</f>
        <v>0</v>
      </c>
      <c r="Q535" s="35" t="n">
        <f aca="false">IF(O535="No",ROUND(L535*M535/2,2),0)</f>
        <v>0</v>
      </c>
      <c r="R535" s="35" t="n">
        <f aca="false">Q535</f>
        <v>0</v>
      </c>
      <c r="S535" s="35" t="n">
        <f aca="false">L535+P535+Q535+R535</f>
        <v>0</v>
      </c>
      <c r="T535" s="34" t="str">
        <f aca="false">IF(A535="","",IFERROR(INDEX(Customers!$B$5:$B$204,MATCH(C535,Customers!$A$5:$A$204,0))&amp;"",""))</f>
        <v/>
      </c>
      <c r="U535" s="38" t="str">
        <f aca="false">IF(A535="","",IF(T535&lt;&gt;"","B2B",IF(AND(O535="Yes",SUMIF($A$5:$A$1004,A535,$L$5:$L$1004)+SUMIF($A$5:$A$1004,A535,$P$5:$P$1004)&gt;100000),"B2CL","B2CS")))</f>
        <v/>
      </c>
      <c r="V535" s="17" t="str">
        <f aca="false">IF(A535="","",TEXT(B535,"mmm-yyyy"))</f>
        <v/>
      </c>
    </row>
    <row r="536" customFormat="false" ht="15" hidden="false" customHeight="true" outlineLevel="0" collapsed="false">
      <c r="A536" s="24"/>
      <c r="B536" s="39"/>
      <c r="C536" s="24"/>
      <c r="D536" s="24"/>
      <c r="E536" s="40"/>
      <c r="F536" s="29"/>
      <c r="G536" s="30"/>
      <c r="H536" s="17" t="str">
        <f aca="false">IF(A536="","",A536&amp;"|"&amp;COUNTIF(A$5:A536,A536))</f>
        <v/>
      </c>
      <c r="I536" s="33" t="str">
        <f aca="false">IF(A536="","",IFERROR(INDEX(Items!$B$5:$B$304,MATCH(D536,Items!$A$5:$A$304,0))&amp;"",""))</f>
        <v/>
      </c>
      <c r="J536" s="34" t="str">
        <f aca="false">IF(A536="","",IFERROR(INDEX(Items!$C$5:$C$304,MATCH(D536,Items!$A$5:$A$304,0))&amp;"",""))</f>
        <v/>
      </c>
      <c r="K536" s="35" t="n">
        <f aca="false">IF(A536="",0,IF(ISNUMBER(F536),F536,IFERROR(INDEX(Items!$D$5:$D$304,MATCH(D536,Items!$A$5:$A$304,0)),0)))</f>
        <v>0</v>
      </c>
      <c r="L536" s="35" t="n">
        <f aca="false">ROUND(N(E536)*K536*(1-N(G536)),2)</f>
        <v>0</v>
      </c>
      <c r="M536" s="36" t="n">
        <f aca="false">IF(A536="",0,IFERROR(INDEX(Items!$E$5:$E$304,MATCH(D536,Items!$A$5:$A$304,0)),0))</f>
        <v>0</v>
      </c>
      <c r="N536" s="37" t="str">
        <f aca="false">IF(A536="","",IFERROR(INDEX(Customers!$E$5:$E$204,MATCH(C536,Customers!$A$5:$A$204,0)),"?"))</f>
        <v/>
      </c>
      <c r="O536" s="38" t="str">
        <f aca="false">IF(A536="","",IF(N536=Settings!$B$17,"No","Yes"))</f>
        <v/>
      </c>
      <c r="P536" s="35" t="n">
        <f aca="false">IF(O536="Yes",ROUND(L536*M536,2),0)</f>
        <v>0</v>
      </c>
      <c r="Q536" s="35" t="n">
        <f aca="false">IF(O536="No",ROUND(L536*M536/2,2),0)</f>
        <v>0</v>
      </c>
      <c r="R536" s="35" t="n">
        <f aca="false">Q536</f>
        <v>0</v>
      </c>
      <c r="S536" s="35" t="n">
        <f aca="false">L536+P536+Q536+R536</f>
        <v>0</v>
      </c>
      <c r="T536" s="34" t="str">
        <f aca="false">IF(A536="","",IFERROR(INDEX(Customers!$B$5:$B$204,MATCH(C536,Customers!$A$5:$A$204,0))&amp;"",""))</f>
        <v/>
      </c>
      <c r="U536" s="38" t="str">
        <f aca="false">IF(A536="","",IF(T536&lt;&gt;"","B2B",IF(AND(O536="Yes",SUMIF($A$5:$A$1004,A536,$L$5:$L$1004)+SUMIF($A$5:$A$1004,A536,$P$5:$P$1004)&gt;100000),"B2CL","B2CS")))</f>
        <v/>
      </c>
      <c r="V536" s="17" t="str">
        <f aca="false">IF(A536="","",TEXT(B536,"mmm-yyyy"))</f>
        <v/>
      </c>
    </row>
    <row r="537" customFormat="false" ht="15" hidden="false" customHeight="true" outlineLevel="0" collapsed="false">
      <c r="A537" s="24"/>
      <c r="B537" s="39"/>
      <c r="C537" s="24"/>
      <c r="D537" s="24"/>
      <c r="E537" s="40"/>
      <c r="F537" s="29"/>
      <c r="G537" s="30"/>
      <c r="H537" s="17" t="str">
        <f aca="false">IF(A537="","",A537&amp;"|"&amp;COUNTIF(A$5:A537,A537))</f>
        <v/>
      </c>
      <c r="I537" s="33" t="str">
        <f aca="false">IF(A537="","",IFERROR(INDEX(Items!$B$5:$B$304,MATCH(D537,Items!$A$5:$A$304,0))&amp;"",""))</f>
        <v/>
      </c>
      <c r="J537" s="34" t="str">
        <f aca="false">IF(A537="","",IFERROR(INDEX(Items!$C$5:$C$304,MATCH(D537,Items!$A$5:$A$304,0))&amp;"",""))</f>
        <v/>
      </c>
      <c r="K537" s="35" t="n">
        <f aca="false">IF(A537="",0,IF(ISNUMBER(F537),F537,IFERROR(INDEX(Items!$D$5:$D$304,MATCH(D537,Items!$A$5:$A$304,0)),0)))</f>
        <v>0</v>
      </c>
      <c r="L537" s="35" t="n">
        <f aca="false">ROUND(N(E537)*K537*(1-N(G537)),2)</f>
        <v>0</v>
      </c>
      <c r="M537" s="36" t="n">
        <f aca="false">IF(A537="",0,IFERROR(INDEX(Items!$E$5:$E$304,MATCH(D537,Items!$A$5:$A$304,0)),0))</f>
        <v>0</v>
      </c>
      <c r="N537" s="37" t="str">
        <f aca="false">IF(A537="","",IFERROR(INDEX(Customers!$E$5:$E$204,MATCH(C537,Customers!$A$5:$A$204,0)),"?"))</f>
        <v/>
      </c>
      <c r="O537" s="38" t="str">
        <f aca="false">IF(A537="","",IF(N537=Settings!$B$17,"No","Yes"))</f>
        <v/>
      </c>
      <c r="P537" s="35" t="n">
        <f aca="false">IF(O537="Yes",ROUND(L537*M537,2),0)</f>
        <v>0</v>
      </c>
      <c r="Q537" s="35" t="n">
        <f aca="false">IF(O537="No",ROUND(L537*M537/2,2),0)</f>
        <v>0</v>
      </c>
      <c r="R537" s="35" t="n">
        <f aca="false">Q537</f>
        <v>0</v>
      </c>
      <c r="S537" s="35" t="n">
        <f aca="false">L537+P537+Q537+R537</f>
        <v>0</v>
      </c>
      <c r="T537" s="34" t="str">
        <f aca="false">IF(A537="","",IFERROR(INDEX(Customers!$B$5:$B$204,MATCH(C537,Customers!$A$5:$A$204,0))&amp;"",""))</f>
        <v/>
      </c>
      <c r="U537" s="38" t="str">
        <f aca="false">IF(A537="","",IF(T537&lt;&gt;"","B2B",IF(AND(O537="Yes",SUMIF($A$5:$A$1004,A537,$L$5:$L$1004)+SUMIF($A$5:$A$1004,A537,$P$5:$P$1004)&gt;100000),"B2CL","B2CS")))</f>
        <v/>
      </c>
      <c r="V537" s="17" t="str">
        <f aca="false">IF(A537="","",TEXT(B537,"mmm-yyyy"))</f>
        <v/>
      </c>
    </row>
    <row r="538" customFormat="false" ht="15" hidden="false" customHeight="true" outlineLevel="0" collapsed="false">
      <c r="A538" s="24"/>
      <c r="B538" s="39"/>
      <c r="C538" s="24"/>
      <c r="D538" s="24"/>
      <c r="E538" s="40"/>
      <c r="F538" s="29"/>
      <c r="G538" s="30"/>
      <c r="H538" s="17" t="str">
        <f aca="false">IF(A538="","",A538&amp;"|"&amp;COUNTIF(A$5:A538,A538))</f>
        <v/>
      </c>
      <c r="I538" s="33" t="str">
        <f aca="false">IF(A538="","",IFERROR(INDEX(Items!$B$5:$B$304,MATCH(D538,Items!$A$5:$A$304,0))&amp;"",""))</f>
        <v/>
      </c>
      <c r="J538" s="34" t="str">
        <f aca="false">IF(A538="","",IFERROR(INDEX(Items!$C$5:$C$304,MATCH(D538,Items!$A$5:$A$304,0))&amp;"",""))</f>
        <v/>
      </c>
      <c r="K538" s="35" t="n">
        <f aca="false">IF(A538="",0,IF(ISNUMBER(F538),F538,IFERROR(INDEX(Items!$D$5:$D$304,MATCH(D538,Items!$A$5:$A$304,0)),0)))</f>
        <v>0</v>
      </c>
      <c r="L538" s="35" t="n">
        <f aca="false">ROUND(N(E538)*K538*(1-N(G538)),2)</f>
        <v>0</v>
      </c>
      <c r="M538" s="36" t="n">
        <f aca="false">IF(A538="",0,IFERROR(INDEX(Items!$E$5:$E$304,MATCH(D538,Items!$A$5:$A$304,0)),0))</f>
        <v>0</v>
      </c>
      <c r="N538" s="37" t="str">
        <f aca="false">IF(A538="","",IFERROR(INDEX(Customers!$E$5:$E$204,MATCH(C538,Customers!$A$5:$A$204,0)),"?"))</f>
        <v/>
      </c>
      <c r="O538" s="38" t="str">
        <f aca="false">IF(A538="","",IF(N538=Settings!$B$17,"No","Yes"))</f>
        <v/>
      </c>
      <c r="P538" s="35" t="n">
        <f aca="false">IF(O538="Yes",ROUND(L538*M538,2),0)</f>
        <v>0</v>
      </c>
      <c r="Q538" s="35" t="n">
        <f aca="false">IF(O538="No",ROUND(L538*M538/2,2),0)</f>
        <v>0</v>
      </c>
      <c r="R538" s="35" t="n">
        <f aca="false">Q538</f>
        <v>0</v>
      </c>
      <c r="S538" s="35" t="n">
        <f aca="false">L538+P538+Q538+R538</f>
        <v>0</v>
      </c>
      <c r="T538" s="34" t="str">
        <f aca="false">IF(A538="","",IFERROR(INDEX(Customers!$B$5:$B$204,MATCH(C538,Customers!$A$5:$A$204,0))&amp;"",""))</f>
        <v/>
      </c>
      <c r="U538" s="38" t="str">
        <f aca="false">IF(A538="","",IF(T538&lt;&gt;"","B2B",IF(AND(O538="Yes",SUMIF($A$5:$A$1004,A538,$L$5:$L$1004)+SUMIF($A$5:$A$1004,A538,$P$5:$P$1004)&gt;100000),"B2CL","B2CS")))</f>
        <v/>
      </c>
      <c r="V538" s="17" t="str">
        <f aca="false">IF(A538="","",TEXT(B538,"mmm-yyyy"))</f>
        <v/>
      </c>
    </row>
    <row r="539" customFormat="false" ht="15" hidden="false" customHeight="true" outlineLevel="0" collapsed="false">
      <c r="A539" s="24"/>
      <c r="B539" s="39"/>
      <c r="C539" s="24"/>
      <c r="D539" s="24"/>
      <c r="E539" s="40"/>
      <c r="F539" s="29"/>
      <c r="G539" s="30"/>
      <c r="H539" s="17" t="str">
        <f aca="false">IF(A539="","",A539&amp;"|"&amp;COUNTIF(A$5:A539,A539))</f>
        <v/>
      </c>
      <c r="I539" s="33" t="str">
        <f aca="false">IF(A539="","",IFERROR(INDEX(Items!$B$5:$B$304,MATCH(D539,Items!$A$5:$A$304,0))&amp;"",""))</f>
        <v/>
      </c>
      <c r="J539" s="34" t="str">
        <f aca="false">IF(A539="","",IFERROR(INDEX(Items!$C$5:$C$304,MATCH(D539,Items!$A$5:$A$304,0))&amp;"",""))</f>
        <v/>
      </c>
      <c r="K539" s="35" t="n">
        <f aca="false">IF(A539="",0,IF(ISNUMBER(F539),F539,IFERROR(INDEX(Items!$D$5:$D$304,MATCH(D539,Items!$A$5:$A$304,0)),0)))</f>
        <v>0</v>
      </c>
      <c r="L539" s="35" t="n">
        <f aca="false">ROUND(N(E539)*K539*(1-N(G539)),2)</f>
        <v>0</v>
      </c>
      <c r="M539" s="36" t="n">
        <f aca="false">IF(A539="",0,IFERROR(INDEX(Items!$E$5:$E$304,MATCH(D539,Items!$A$5:$A$304,0)),0))</f>
        <v>0</v>
      </c>
      <c r="N539" s="37" t="str">
        <f aca="false">IF(A539="","",IFERROR(INDEX(Customers!$E$5:$E$204,MATCH(C539,Customers!$A$5:$A$204,0)),"?"))</f>
        <v/>
      </c>
      <c r="O539" s="38" t="str">
        <f aca="false">IF(A539="","",IF(N539=Settings!$B$17,"No","Yes"))</f>
        <v/>
      </c>
      <c r="P539" s="35" t="n">
        <f aca="false">IF(O539="Yes",ROUND(L539*M539,2),0)</f>
        <v>0</v>
      </c>
      <c r="Q539" s="35" t="n">
        <f aca="false">IF(O539="No",ROUND(L539*M539/2,2),0)</f>
        <v>0</v>
      </c>
      <c r="R539" s="35" t="n">
        <f aca="false">Q539</f>
        <v>0</v>
      </c>
      <c r="S539" s="35" t="n">
        <f aca="false">L539+P539+Q539+R539</f>
        <v>0</v>
      </c>
      <c r="T539" s="34" t="str">
        <f aca="false">IF(A539="","",IFERROR(INDEX(Customers!$B$5:$B$204,MATCH(C539,Customers!$A$5:$A$204,0))&amp;"",""))</f>
        <v/>
      </c>
      <c r="U539" s="38" t="str">
        <f aca="false">IF(A539="","",IF(T539&lt;&gt;"","B2B",IF(AND(O539="Yes",SUMIF($A$5:$A$1004,A539,$L$5:$L$1004)+SUMIF($A$5:$A$1004,A539,$P$5:$P$1004)&gt;100000),"B2CL","B2CS")))</f>
        <v/>
      </c>
      <c r="V539" s="17" t="str">
        <f aca="false">IF(A539="","",TEXT(B539,"mmm-yyyy"))</f>
        <v/>
      </c>
    </row>
    <row r="540" customFormat="false" ht="15" hidden="false" customHeight="true" outlineLevel="0" collapsed="false">
      <c r="A540" s="24"/>
      <c r="B540" s="39"/>
      <c r="C540" s="24"/>
      <c r="D540" s="24"/>
      <c r="E540" s="40"/>
      <c r="F540" s="29"/>
      <c r="G540" s="30"/>
      <c r="H540" s="17" t="str">
        <f aca="false">IF(A540="","",A540&amp;"|"&amp;COUNTIF(A$5:A540,A540))</f>
        <v/>
      </c>
      <c r="I540" s="33" t="str">
        <f aca="false">IF(A540="","",IFERROR(INDEX(Items!$B$5:$B$304,MATCH(D540,Items!$A$5:$A$304,0))&amp;"",""))</f>
        <v/>
      </c>
      <c r="J540" s="34" t="str">
        <f aca="false">IF(A540="","",IFERROR(INDEX(Items!$C$5:$C$304,MATCH(D540,Items!$A$5:$A$304,0))&amp;"",""))</f>
        <v/>
      </c>
      <c r="K540" s="35" t="n">
        <f aca="false">IF(A540="",0,IF(ISNUMBER(F540),F540,IFERROR(INDEX(Items!$D$5:$D$304,MATCH(D540,Items!$A$5:$A$304,0)),0)))</f>
        <v>0</v>
      </c>
      <c r="L540" s="35" t="n">
        <f aca="false">ROUND(N(E540)*K540*(1-N(G540)),2)</f>
        <v>0</v>
      </c>
      <c r="M540" s="36" t="n">
        <f aca="false">IF(A540="",0,IFERROR(INDEX(Items!$E$5:$E$304,MATCH(D540,Items!$A$5:$A$304,0)),0))</f>
        <v>0</v>
      </c>
      <c r="N540" s="37" t="str">
        <f aca="false">IF(A540="","",IFERROR(INDEX(Customers!$E$5:$E$204,MATCH(C540,Customers!$A$5:$A$204,0)),"?"))</f>
        <v/>
      </c>
      <c r="O540" s="38" t="str">
        <f aca="false">IF(A540="","",IF(N540=Settings!$B$17,"No","Yes"))</f>
        <v/>
      </c>
      <c r="P540" s="35" t="n">
        <f aca="false">IF(O540="Yes",ROUND(L540*M540,2),0)</f>
        <v>0</v>
      </c>
      <c r="Q540" s="35" t="n">
        <f aca="false">IF(O540="No",ROUND(L540*M540/2,2),0)</f>
        <v>0</v>
      </c>
      <c r="R540" s="35" t="n">
        <f aca="false">Q540</f>
        <v>0</v>
      </c>
      <c r="S540" s="35" t="n">
        <f aca="false">L540+P540+Q540+R540</f>
        <v>0</v>
      </c>
      <c r="T540" s="34" t="str">
        <f aca="false">IF(A540="","",IFERROR(INDEX(Customers!$B$5:$B$204,MATCH(C540,Customers!$A$5:$A$204,0))&amp;"",""))</f>
        <v/>
      </c>
      <c r="U540" s="38" t="str">
        <f aca="false">IF(A540="","",IF(T540&lt;&gt;"","B2B",IF(AND(O540="Yes",SUMIF($A$5:$A$1004,A540,$L$5:$L$1004)+SUMIF($A$5:$A$1004,A540,$P$5:$P$1004)&gt;100000),"B2CL","B2CS")))</f>
        <v/>
      </c>
      <c r="V540" s="17" t="str">
        <f aca="false">IF(A540="","",TEXT(B540,"mmm-yyyy"))</f>
        <v/>
      </c>
    </row>
    <row r="541" customFormat="false" ht="15" hidden="false" customHeight="true" outlineLevel="0" collapsed="false">
      <c r="A541" s="24"/>
      <c r="B541" s="39"/>
      <c r="C541" s="24"/>
      <c r="D541" s="24"/>
      <c r="E541" s="40"/>
      <c r="F541" s="29"/>
      <c r="G541" s="30"/>
      <c r="H541" s="17" t="str">
        <f aca="false">IF(A541="","",A541&amp;"|"&amp;COUNTIF(A$5:A541,A541))</f>
        <v/>
      </c>
      <c r="I541" s="33" t="str">
        <f aca="false">IF(A541="","",IFERROR(INDEX(Items!$B$5:$B$304,MATCH(D541,Items!$A$5:$A$304,0))&amp;"",""))</f>
        <v/>
      </c>
      <c r="J541" s="34" t="str">
        <f aca="false">IF(A541="","",IFERROR(INDEX(Items!$C$5:$C$304,MATCH(D541,Items!$A$5:$A$304,0))&amp;"",""))</f>
        <v/>
      </c>
      <c r="K541" s="35" t="n">
        <f aca="false">IF(A541="",0,IF(ISNUMBER(F541),F541,IFERROR(INDEX(Items!$D$5:$D$304,MATCH(D541,Items!$A$5:$A$304,0)),0)))</f>
        <v>0</v>
      </c>
      <c r="L541" s="35" t="n">
        <f aca="false">ROUND(N(E541)*K541*(1-N(G541)),2)</f>
        <v>0</v>
      </c>
      <c r="M541" s="36" t="n">
        <f aca="false">IF(A541="",0,IFERROR(INDEX(Items!$E$5:$E$304,MATCH(D541,Items!$A$5:$A$304,0)),0))</f>
        <v>0</v>
      </c>
      <c r="N541" s="37" t="str">
        <f aca="false">IF(A541="","",IFERROR(INDEX(Customers!$E$5:$E$204,MATCH(C541,Customers!$A$5:$A$204,0)),"?"))</f>
        <v/>
      </c>
      <c r="O541" s="38" t="str">
        <f aca="false">IF(A541="","",IF(N541=Settings!$B$17,"No","Yes"))</f>
        <v/>
      </c>
      <c r="P541" s="35" t="n">
        <f aca="false">IF(O541="Yes",ROUND(L541*M541,2),0)</f>
        <v>0</v>
      </c>
      <c r="Q541" s="35" t="n">
        <f aca="false">IF(O541="No",ROUND(L541*M541/2,2),0)</f>
        <v>0</v>
      </c>
      <c r="R541" s="35" t="n">
        <f aca="false">Q541</f>
        <v>0</v>
      </c>
      <c r="S541" s="35" t="n">
        <f aca="false">L541+P541+Q541+R541</f>
        <v>0</v>
      </c>
      <c r="T541" s="34" t="str">
        <f aca="false">IF(A541="","",IFERROR(INDEX(Customers!$B$5:$B$204,MATCH(C541,Customers!$A$5:$A$204,0))&amp;"",""))</f>
        <v/>
      </c>
      <c r="U541" s="38" t="str">
        <f aca="false">IF(A541="","",IF(T541&lt;&gt;"","B2B",IF(AND(O541="Yes",SUMIF($A$5:$A$1004,A541,$L$5:$L$1004)+SUMIF($A$5:$A$1004,A541,$P$5:$P$1004)&gt;100000),"B2CL","B2CS")))</f>
        <v/>
      </c>
      <c r="V541" s="17" t="str">
        <f aca="false">IF(A541="","",TEXT(B541,"mmm-yyyy"))</f>
        <v/>
      </c>
    </row>
    <row r="542" customFormat="false" ht="15" hidden="false" customHeight="true" outlineLevel="0" collapsed="false">
      <c r="A542" s="24"/>
      <c r="B542" s="39"/>
      <c r="C542" s="24"/>
      <c r="D542" s="24"/>
      <c r="E542" s="40"/>
      <c r="F542" s="29"/>
      <c r="G542" s="30"/>
      <c r="H542" s="17" t="str">
        <f aca="false">IF(A542="","",A542&amp;"|"&amp;COUNTIF(A$5:A542,A542))</f>
        <v/>
      </c>
      <c r="I542" s="33" t="str">
        <f aca="false">IF(A542="","",IFERROR(INDEX(Items!$B$5:$B$304,MATCH(D542,Items!$A$5:$A$304,0))&amp;"",""))</f>
        <v/>
      </c>
      <c r="J542" s="34" t="str">
        <f aca="false">IF(A542="","",IFERROR(INDEX(Items!$C$5:$C$304,MATCH(D542,Items!$A$5:$A$304,0))&amp;"",""))</f>
        <v/>
      </c>
      <c r="K542" s="35" t="n">
        <f aca="false">IF(A542="",0,IF(ISNUMBER(F542),F542,IFERROR(INDEX(Items!$D$5:$D$304,MATCH(D542,Items!$A$5:$A$304,0)),0)))</f>
        <v>0</v>
      </c>
      <c r="L542" s="35" t="n">
        <f aca="false">ROUND(N(E542)*K542*(1-N(G542)),2)</f>
        <v>0</v>
      </c>
      <c r="M542" s="36" t="n">
        <f aca="false">IF(A542="",0,IFERROR(INDEX(Items!$E$5:$E$304,MATCH(D542,Items!$A$5:$A$304,0)),0))</f>
        <v>0</v>
      </c>
      <c r="N542" s="37" t="str">
        <f aca="false">IF(A542="","",IFERROR(INDEX(Customers!$E$5:$E$204,MATCH(C542,Customers!$A$5:$A$204,0)),"?"))</f>
        <v/>
      </c>
      <c r="O542" s="38" t="str">
        <f aca="false">IF(A542="","",IF(N542=Settings!$B$17,"No","Yes"))</f>
        <v/>
      </c>
      <c r="P542" s="35" t="n">
        <f aca="false">IF(O542="Yes",ROUND(L542*M542,2),0)</f>
        <v>0</v>
      </c>
      <c r="Q542" s="35" t="n">
        <f aca="false">IF(O542="No",ROUND(L542*M542/2,2),0)</f>
        <v>0</v>
      </c>
      <c r="R542" s="35" t="n">
        <f aca="false">Q542</f>
        <v>0</v>
      </c>
      <c r="S542" s="35" t="n">
        <f aca="false">L542+P542+Q542+R542</f>
        <v>0</v>
      </c>
      <c r="T542" s="34" t="str">
        <f aca="false">IF(A542="","",IFERROR(INDEX(Customers!$B$5:$B$204,MATCH(C542,Customers!$A$5:$A$204,0))&amp;"",""))</f>
        <v/>
      </c>
      <c r="U542" s="38" t="str">
        <f aca="false">IF(A542="","",IF(T542&lt;&gt;"","B2B",IF(AND(O542="Yes",SUMIF($A$5:$A$1004,A542,$L$5:$L$1004)+SUMIF($A$5:$A$1004,A542,$P$5:$P$1004)&gt;100000),"B2CL","B2CS")))</f>
        <v/>
      </c>
      <c r="V542" s="17" t="str">
        <f aca="false">IF(A542="","",TEXT(B542,"mmm-yyyy"))</f>
        <v/>
      </c>
    </row>
    <row r="543" customFormat="false" ht="15" hidden="false" customHeight="true" outlineLevel="0" collapsed="false">
      <c r="A543" s="24"/>
      <c r="B543" s="39"/>
      <c r="C543" s="24"/>
      <c r="D543" s="24"/>
      <c r="E543" s="40"/>
      <c r="F543" s="29"/>
      <c r="G543" s="30"/>
      <c r="H543" s="17" t="str">
        <f aca="false">IF(A543="","",A543&amp;"|"&amp;COUNTIF(A$5:A543,A543))</f>
        <v/>
      </c>
      <c r="I543" s="33" t="str">
        <f aca="false">IF(A543="","",IFERROR(INDEX(Items!$B$5:$B$304,MATCH(D543,Items!$A$5:$A$304,0))&amp;"",""))</f>
        <v/>
      </c>
      <c r="J543" s="34" t="str">
        <f aca="false">IF(A543="","",IFERROR(INDEX(Items!$C$5:$C$304,MATCH(D543,Items!$A$5:$A$304,0))&amp;"",""))</f>
        <v/>
      </c>
      <c r="K543" s="35" t="n">
        <f aca="false">IF(A543="",0,IF(ISNUMBER(F543),F543,IFERROR(INDEX(Items!$D$5:$D$304,MATCH(D543,Items!$A$5:$A$304,0)),0)))</f>
        <v>0</v>
      </c>
      <c r="L543" s="35" t="n">
        <f aca="false">ROUND(N(E543)*K543*(1-N(G543)),2)</f>
        <v>0</v>
      </c>
      <c r="M543" s="36" t="n">
        <f aca="false">IF(A543="",0,IFERROR(INDEX(Items!$E$5:$E$304,MATCH(D543,Items!$A$5:$A$304,0)),0))</f>
        <v>0</v>
      </c>
      <c r="N543" s="37" t="str">
        <f aca="false">IF(A543="","",IFERROR(INDEX(Customers!$E$5:$E$204,MATCH(C543,Customers!$A$5:$A$204,0)),"?"))</f>
        <v/>
      </c>
      <c r="O543" s="38" t="str">
        <f aca="false">IF(A543="","",IF(N543=Settings!$B$17,"No","Yes"))</f>
        <v/>
      </c>
      <c r="P543" s="35" t="n">
        <f aca="false">IF(O543="Yes",ROUND(L543*M543,2),0)</f>
        <v>0</v>
      </c>
      <c r="Q543" s="35" t="n">
        <f aca="false">IF(O543="No",ROUND(L543*M543/2,2),0)</f>
        <v>0</v>
      </c>
      <c r="R543" s="35" t="n">
        <f aca="false">Q543</f>
        <v>0</v>
      </c>
      <c r="S543" s="35" t="n">
        <f aca="false">L543+P543+Q543+R543</f>
        <v>0</v>
      </c>
      <c r="T543" s="34" t="str">
        <f aca="false">IF(A543="","",IFERROR(INDEX(Customers!$B$5:$B$204,MATCH(C543,Customers!$A$5:$A$204,0))&amp;"",""))</f>
        <v/>
      </c>
      <c r="U543" s="38" t="str">
        <f aca="false">IF(A543="","",IF(T543&lt;&gt;"","B2B",IF(AND(O543="Yes",SUMIF($A$5:$A$1004,A543,$L$5:$L$1004)+SUMIF($A$5:$A$1004,A543,$P$5:$P$1004)&gt;100000),"B2CL","B2CS")))</f>
        <v/>
      </c>
      <c r="V543" s="17" t="str">
        <f aca="false">IF(A543="","",TEXT(B543,"mmm-yyyy"))</f>
        <v/>
      </c>
    </row>
    <row r="544" customFormat="false" ht="15" hidden="false" customHeight="true" outlineLevel="0" collapsed="false">
      <c r="A544" s="24"/>
      <c r="B544" s="39"/>
      <c r="C544" s="24"/>
      <c r="D544" s="24"/>
      <c r="E544" s="40"/>
      <c r="F544" s="29"/>
      <c r="G544" s="30"/>
      <c r="H544" s="17" t="str">
        <f aca="false">IF(A544="","",A544&amp;"|"&amp;COUNTIF(A$5:A544,A544))</f>
        <v/>
      </c>
      <c r="I544" s="33" t="str">
        <f aca="false">IF(A544="","",IFERROR(INDEX(Items!$B$5:$B$304,MATCH(D544,Items!$A$5:$A$304,0))&amp;"",""))</f>
        <v/>
      </c>
      <c r="J544" s="34" t="str">
        <f aca="false">IF(A544="","",IFERROR(INDEX(Items!$C$5:$C$304,MATCH(D544,Items!$A$5:$A$304,0))&amp;"",""))</f>
        <v/>
      </c>
      <c r="K544" s="35" t="n">
        <f aca="false">IF(A544="",0,IF(ISNUMBER(F544),F544,IFERROR(INDEX(Items!$D$5:$D$304,MATCH(D544,Items!$A$5:$A$304,0)),0)))</f>
        <v>0</v>
      </c>
      <c r="L544" s="35" t="n">
        <f aca="false">ROUND(N(E544)*K544*(1-N(G544)),2)</f>
        <v>0</v>
      </c>
      <c r="M544" s="36" t="n">
        <f aca="false">IF(A544="",0,IFERROR(INDEX(Items!$E$5:$E$304,MATCH(D544,Items!$A$5:$A$304,0)),0))</f>
        <v>0</v>
      </c>
      <c r="N544" s="37" t="str">
        <f aca="false">IF(A544="","",IFERROR(INDEX(Customers!$E$5:$E$204,MATCH(C544,Customers!$A$5:$A$204,0)),"?"))</f>
        <v/>
      </c>
      <c r="O544" s="38" t="str">
        <f aca="false">IF(A544="","",IF(N544=Settings!$B$17,"No","Yes"))</f>
        <v/>
      </c>
      <c r="P544" s="35" t="n">
        <f aca="false">IF(O544="Yes",ROUND(L544*M544,2),0)</f>
        <v>0</v>
      </c>
      <c r="Q544" s="35" t="n">
        <f aca="false">IF(O544="No",ROUND(L544*M544/2,2),0)</f>
        <v>0</v>
      </c>
      <c r="R544" s="35" t="n">
        <f aca="false">Q544</f>
        <v>0</v>
      </c>
      <c r="S544" s="35" t="n">
        <f aca="false">L544+P544+Q544+R544</f>
        <v>0</v>
      </c>
      <c r="T544" s="34" t="str">
        <f aca="false">IF(A544="","",IFERROR(INDEX(Customers!$B$5:$B$204,MATCH(C544,Customers!$A$5:$A$204,0))&amp;"",""))</f>
        <v/>
      </c>
      <c r="U544" s="38" t="str">
        <f aca="false">IF(A544="","",IF(T544&lt;&gt;"","B2B",IF(AND(O544="Yes",SUMIF($A$5:$A$1004,A544,$L$5:$L$1004)+SUMIF($A$5:$A$1004,A544,$P$5:$P$1004)&gt;100000),"B2CL","B2CS")))</f>
        <v/>
      </c>
      <c r="V544" s="17" t="str">
        <f aca="false">IF(A544="","",TEXT(B544,"mmm-yyyy"))</f>
        <v/>
      </c>
    </row>
    <row r="545" customFormat="false" ht="15" hidden="false" customHeight="true" outlineLevel="0" collapsed="false">
      <c r="A545" s="24"/>
      <c r="B545" s="39"/>
      <c r="C545" s="24"/>
      <c r="D545" s="24"/>
      <c r="E545" s="40"/>
      <c r="F545" s="29"/>
      <c r="G545" s="30"/>
      <c r="H545" s="17" t="str">
        <f aca="false">IF(A545="","",A545&amp;"|"&amp;COUNTIF(A$5:A545,A545))</f>
        <v/>
      </c>
      <c r="I545" s="33" t="str">
        <f aca="false">IF(A545="","",IFERROR(INDEX(Items!$B$5:$B$304,MATCH(D545,Items!$A$5:$A$304,0))&amp;"",""))</f>
        <v/>
      </c>
      <c r="J545" s="34" t="str">
        <f aca="false">IF(A545="","",IFERROR(INDEX(Items!$C$5:$C$304,MATCH(D545,Items!$A$5:$A$304,0))&amp;"",""))</f>
        <v/>
      </c>
      <c r="K545" s="35" t="n">
        <f aca="false">IF(A545="",0,IF(ISNUMBER(F545),F545,IFERROR(INDEX(Items!$D$5:$D$304,MATCH(D545,Items!$A$5:$A$304,0)),0)))</f>
        <v>0</v>
      </c>
      <c r="L545" s="35" t="n">
        <f aca="false">ROUND(N(E545)*K545*(1-N(G545)),2)</f>
        <v>0</v>
      </c>
      <c r="M545" s="36" t="n">
        <f aca="false">IF(A545="",0,IFERROR(INDEX(Items!$E$5:$E$304,MATCH(D545,Items!$A$5:$A$304,0)),0))</f>
        <v>0</v>
      </c>
      <c r="N545" s="37" t="str">
        <f aca="false">IF(A545="","",IFERROR(INDEX(Customers!$E$5:$E$204,MATCH(C545,Customers!$A$5:$A$204,0)),"?"))</f>
        <v/>
      </c>
      <c r="O545" s="38" t="str">
        <f aca="false">IF(A545="","",IF(N545=Settings!$B$17,"No","Yes"))</f>
        <v/>
      </c>
      <c r="P545" s="35" t="n">
        <f aca="false">IF(O545="Yes",ROUND(L545*M545,2),0)</f>
        <v>0</v>
      </c>
      <c r="Q545" s="35" t="n">
        <f aca="false">IF(O545="No",ROUND(L545*M545/2,2),0)</f>
        <v>0</v>
      </c>
      <c r="R545" s="35" t="n">
        <f aca="false">Q545</f>
        <v>0</v>
      </c>
      <c r="S545" s="35" t="n">
        <f aca="false">L545+P545+Q545+R545</f>
        <v>0</v>
      </c>
      <c r="T545" s="34" t="str">
        <f aca="false">IF(A545="","",IFERROR(INDEX(Customers!$B$5:$B$204,MATCH(C545,Customers!$A$5:$A$204,0))&amp;"",""))</f>
        <v/>
      </c>
      <c r="U545" s="38" t="str">
        <f aca="false">IF(A545="","",IF(T545&lt;&gt;"","B2B",IF(AND(O545="Yes",SUMIF($A$5:$A$1004,A545,$L$5:$L$1004)+SUMIF($A$5:$A$1004,A545,$P$5:$P$1004)&gt;100000),"B2CL","B2CS")))</f>
        <v/>
      </c>
      <c r="V545" s="17" t="str">
        <f aca="false">IF(A545="","",TEXT(B545,"mmm-yyyy"))</f>
        <v/>
      </c>
    </row>
    <row r="546" customFormat="false" ht="15" hidden="false" customHeight="true" outlineLevel="0" collapsed="false">
      <c r="A546" s="24"/>
      <c r="B546" s="39"/>
      <c r="C546" s="24"/>
      <c r="D546" s="24"/>
      <c r="E546" s="40"/>
      <c r="F546" s="29"/>
      <c r="G546" s="30"/>
      <c r="H546" s="17" t="str">
        <f aca="false">IF(A546="","",A546&amp;"|"&amp;COUNTIF(A$5:A546,A546))</f>
        <v/>
      </c>
      <c r="I546" s="33" t="str">
        <f aca="false">IF(A546="","",IFERROR(INDEX(Items!$B$5:$B$304,MATCH(D546,Items!$A$5:$A$304,0))&amp;"",""))</f>
        <v/>
      </c>
      <c r="J546" s="34" t="str">
        <f aca="false">IF(A546="","",IFERROR(INDEX(Items!$C$5:$C$304,MATCH(D546,Items!$A$5:$A$304,0))&amp;"",""))</f>
        <v/>
      </c>
      <c r="K546" s="35" t="n">
        <f aca="false">IF(A546="",0,IF(ISNUMBER(F546),F546,IFERROR(INDEX(Items!$D$5:$D$304,MATCH(D546,Items!$A$5:$A$304,0)),0)))</f>
        <v>0</v>
      </c>
      <c r="L546" s="35" t="n">
        <f aca="false">ROUND(N(E546)*K546*(1-N(G546)),2)</f>
        <v>0</v>
      </c>
      <c r="M546" s="36" t="n">
        <f aca="false">IF(A546="",0,IFERROR(INDEX(Items!$E$5:$E$304,MATCH(D546,Items!$A$5:$A$304,0)),0))</f>
        <v>0</v>
      </c>
      <c r="N546" s="37" t="str">
        <f aca="false">IF(A546="","",IFERROR(INDEX(Customers!$E$5:$E$204,MATCH(C546,Customers!$A$5:$A$204,0)),"?"))</f>
        <v/>
      </c>
      <c r="O546" s="38" t="str">
        <f aca="false">IF(A546="","",IF(N546=Settings!$B$17,"No","Yes"))</f>
        <v/>
      </c>
      <c r="P546" s="35" t="n">
        <f aca="false">IF(O546="Yes",ROUND(L546*M546,2),0)</f>
        <v>0</v>
      </c>
      <c r="Q546" s="35" t="n">
        <f aca="false">IF(O546="No",ROUND(L546*M546/2,2),0)</f>
        <v>0</v>
      </c>
      <c r="R546" s="35" t="n">
        <f aca="false">Q546</f>
        <v>0</v>
      </c>
      <c r="S546" s="35" t="n">
        <f aca="false">L546+P546+Q546+R546</f>
        <v>0</v>
      </c>
      <c r="T546" s="34" t="str">
        <f aca="false">IF(A546="","",IFERROR(INDEX(Customers!$B$5:$B$204,MATCH(C546,Customers!$A$5:$A$204,0))&amp;"",""))</f>
        <v/>
      </c>
      <c r="U546" s="38" t="str">
        <f aca="false">IF(A546="","",IF(T546&lt;&gt;"","B2B",IF(AND(O546="Yes",SUMIF($A$5:$A$1004,A546,$L$5:$L$1004)+SUMIF($A$5:$A$1004,A546,$P$5:$P$1004)&gt;100000),"B2CL","B2CS")))</f>
        <v/>
      </c>
      <c r="V546" s="17" t="str">
        <f aca="false">IF(A546="","",TEXT(B546,"mmm-yyyy"))</f>
        <v/>
      </c>
    </row>
    <row r="547" customFormat="false" ht="15" hidden="false" customHeight="true" outlineLevel="0" collapsed="false">
      <c r="A547" s="24"/>
      <c r="B547" s="39"/>
      <c r="C547" s="24"/>
      <c r="D547" s="24"/>
      <c r="E547" s="40"/>
      <c r="F547" s="29"/>
      <c r="G547" s="30"/>
      <c r="H547" s="17" t="str">
        <f aca="false">IF(A547="","",A547&amp;"|"&amp;COUNTIF(A$5:A547,A547))</f>
        <v/>
      </c>
      <c r="I547" s="33" t="str">
        <f aca="false">IF(A547="","",IFERROR(INDEX(Items!$B$5:$B$304,MATCH(D547,Items!$A$5:$A$304,0))&amp;"",""))</f>
        <v/>
      </c>
      <c r="J547" s="34" t="str">
        <f aca="false">IF(A547="","",IFERROR(INDEX(Items!$C$5:$C$304,MATCH(D547,Items!$A$5:$A$304,0))&amp;"",""))</f>
        <v/>
      </c>
      <c r="K547" s="35" t="n">
        <f aca="false">IF(A547="",0,IF(ISNUMBER(F547),F547,IFERROR(INDEX(Items!$D$5:$D$304,MATCH(D547,Items!$A$5:$A$304,0)),0)))</f>
        <v>0</v>
      </c>
      <c r="L547" s="35" t="n">
        <f aca="false">ROUND(N(E547)*K547*(1-N(G547)),2)</f>
        <v>0</v>
      </c>
      <c r="M547" s="36" t="n">
        <f aca="false">IF(A547="",0,IFERROR(INDEX(Items!$E$5:$E$304,MATCH(D547,Items!$A$5:$A$304,0)),0))</f>
        <v>0</v>
      </c>
      <c r="N547" s="37" t="str">
        <f aca="false">IF(A547="","",IFERROR(INDEX(Customers!$E$5:$E$204,MATCH(C547,Customers!$A$5:$A$204,0)),"?"))</f>
        <v/>
      </c>
      <c r="O547" s="38" t="str">
        <f aca="false">IF(A547="","",IF(N547=Settings!$B$17,"No","Yes"))</f>
        <v/>
      </c>
      <c r="P547" s="35" t="n">
        <f aca="false">IF(O547="Yes",ROUND(L547*M547,2),0)</f>
        <v>0</v>
      </c>
      <c r="Q547" s="35" t="n">
        <f aca="false">IF(O547="No",ROUND(L547*M547/2,2),0)</f>
        <v>0</v>
      </c>
      <c r="R547" s="35" t="n">
        <f aca="false">Q547</f>
        <v>0</v>
      </c>
      <c r="S547" s="35" t="n">
        <f aca="false">L547+P547+Q547+R547</f>
        <v>0</v>
      </c>
      <c r="T547" s="34" t="str">
        <f aca="false">IF(A547="","",IFERROR(INDEX(Customers!$B$5:$B$204,MATCH(C547,Customers!$A$5:$A$204,0))&amp;"",""))</f>
        <v/>
      </c>
      <c r="U547" s="38" t="str">
        <f aca="false">IF(A547="","",IF(T547&lt;&gt;"","B2B",IF(AND(O547="Yes",SUMIF($A$5:$A$1004,A547,$L$5:$L$1004)+SUMIF($A$5:$A$1004,A547,$P$5:$P$1004)&gt;100000),"B2CL","B2CS")))</f>
        <v/>
      </c>
      <c r="V547" s="17" t="str">
        <f aca="false">IF(A547="","",TEXT(B547,"mmm-yyyy"))</f>
        <v/>
      </c>
    </row>
    <row r="548" customFormat="false" ht="15" hidden="false" customHeight="true" outlineLevel="0" collapsed="false">
      <c r="A548" s="24"/>
      <c r="B548" s="39"/>
      <c r="C548" s="24"/>
      <c r="D548" s="24"/>
      <c r="E548" s="40"/>
      <c r="F548" s="29"/>
      <c r="G548" s="30"/>
      <c r="H548" s="17" t="str">
        <f aca="false">IF(A548="","",A548&amp;"|"&amp;COUNTIF(A$5:A548,A548))</f>
        <v/>
      </c>
      <c r="I548" s="33" t="str">
        <f aca="false">IF(A548="","",IFERROR(INDEX(Items!$B$5:$B$304,MATCH(D548,Items!$A$5:$A$304,0))&amp;"",""))</f>
        <v/>
      </c>
      <c r="J548" s="34" t="str">
        <f aca="false">IF(A548="","",IFERROR(INDEX(Items!$C$5:$C$304,MATCH(D548,Items!$A$5:$A$304,0))&amp;"",""))</f>
        <v/>
      </c>
      <c r="K548" s="35" t="n">
        <f aca="false">IF(A548="",0,IF(ISNUMBER(F548),F548,IFERROR(INDEX(Items!$D$5:$D$304,MATCH(D548,Items!$A$5:$A$304,0)),0)))</f>
        <v>0</v>
      </c>
      <c r="L548" s="35" t="n">
        <f aca="false">ROUND(N(E548)*K548*(1-N(G548)),2)</f>
        <v>0</v>
      </c>
      <c r="M548" s="36" t="n">
        <f aca="false">IF(A548="",0,IFERROR(INDEX(Items!$E$5:$E$304,MATCH(D548,Items!$A$5:$A$304,0)),0))</f>
        <v>0</v>
      </c>
      <c r="N548" s="37" t="str">
        <f aca="false">IF(A548="","",IFERROR(INDEX(Customers!$E$5:$E$204,MATCH(C548,Customers!$A$5:$A$204,0)),"?"))</f>
        <v/>
      </c>
      <c r="O548" s="38" t="str">
        <f aca="false">IF(A548="","",IF(N548=Settings!$B$17,"No","Yes"))</f>
        <v/>
      </c>
      <c r="P548" s="35" t="n">
        <f aca="false">IF(O548="Yes",ROUND(L548*M548,2),0)</f>
        <v>0</v>
      </c>
      <c r="Q548" s="35" t="n">
        <f aca="false">IF(O548="No",ROUND(L548*M548/2,2),0)</f>
        <v>0</v>
      </c>
      <c r="R548" s="35" t="n">
        <f aca="false">Q548</f>
        <v>0</v>
      </c>
      <c r="S548" s="35" t="n">
        <f aca="false">L548+P548+Q548+R548</f>
        <v>0</v>
      </c>
      <c r="T548" s="34" t="str">
        <f aca="false">IF(A548="","",IFERROR(INDEX(Customers!$B$5:$B$204,MATCH(C548,Customers!$A$5:$A$204,0))&amp;"",""))</f>
        <v/>
      </c>
      <c r="U548" s="38" t="str">
        <f aca="false">IF(A548="","",IF(T548&lt;&gt;"","B2B",IF(AND(O548="Yes",SUMIF($A$5:$A$1004,A548,$L$5:$L$1004)+SUMIF($A$5:$A$1004,A548,$P$5:$P$1004)&gt;100000),"B2CL","B2CS")))</f>
        <v/>
      </c>
      <c r="V548" s="17" t="str">
        <f aca="false">IF(A548="","",TEXT(B548,"mmm-yyyy"))</f>
        <v/>
      </c>
    </row>
    <row r="549" customFormat="false" ht="15" hidden="false" customHeight="true" outlineLevel="0" collapsed="false">
      <c r="A549" s="24"/>
      <c r="B549" s="39"/>
      <c r="C549" s="24"/>
      <c r="D549" s="24"/>
      <c r="E549" s="40"/>
      <c r="F549" s="29"/>
      <c r="G549" s="30"/>
      <c r="H549" s="17" t="str">
        <f aca="false">IF(A549="","",A549&amp;"|"&amp;COUNTIF(A$5:A549,A549))</f>
        <v/>
      </c>
      <c r="I549" s="33" t="str">
        <f aca="false">IF(A549="","",IFERROR(INDEX(Items!$B$5:$B$304,MATCH(D549,Items!$A$5:$A$304,0))&amp;"",""))</f>
        <v/>
      </c>
      <c r="J549" s="34" t="str">
        <f aca="false">IF(A549="","",IFERROR(INDEX(Items!$C$5:$C$304,MATCH(D549,Items!$A$5:$A$304,0))&amp;"",""))</f>
        <v/>
      </c>
      <c r="K549" s="35" t="n">
        <f aca="false">IF(A549="",0,IF(ISNUMBER(F549),F549,IFERROR(INDEX(Items!$D$5:$D$304,MATCH(D549,Items!$A$5:$A$304,0)),0)))</f>
        <v>0</v>
      </c>
      <c r="L549" s="35" t="n">
        <f aca="false">ROUND(N(E549)*K549*(1-N(G549)),2)</f>
        <v>0</v>
      </c>
      <c r="M549" s="36" t="n">
        <f aca="false">IF(A549="",0,IFERROR(INDEX(Items!$E$5:$E$304,MATCH(D549,Items!$A$5:$A$304,0)),0))</f>
        <v>0</v>
      </c>
      <c r="N549" s="37" t="str">
        <f aca="false">IF(A549="","",IFERROR(INDEX(Customers!$E$5:$E$204,MATCH(C549,Customers!$A$5:$A$204,0)),"?"))</f>
        <v/>
      </c>
      <c r="O549" s="38" t="str">
        <f aca="false">IF(A549="","",IF(N549=Settings!$B$17,"No","Yes"))</f>
        <v/>
      </c>
      <c r="P549" s="35" t="n">
        <f aca="false">IF(O549="Yes",ROUND(L549*M549,2),0)</f>
        <v>0</v>
      </c>
      <c r="Q549" s="35" t="n">
        <f aca="false">IF(O549="No",ROUND(L549*M549/2,2),0)</f>
        <v>0</v>
      </c>
      <c r="R549" s="35" t="n">
        <f aca="false">Q549</f>
        <v>0</v>
      </c>
      <c r="S549" s="35" t="n">
        <f aca="false">L549+P549+Q549+R549</f>
        <v>0</v>
      </c>
      <c r="T549" s="34" t="str">
        <f aca="false">IF(A549="","",IFERROR(INDEX(Customers!$B$5:$B$204,MATCH(C549,Customers!$A$5:$A$204,0))&amp;"",""))</f>
        <v/>
      </c>
      <c r="U549" s="38" t="str">
        <f aca="false">IF(A549="","",IF(T549&lt;&gt;"","B2B",IF(AND(O549="Yes",SUMIF($A$5:$A$1004,A549,$L$5:$L$1004)+SUMIF($A$5:$A$1004,A549,$P$5:$P$1004)&gt;100000),"B2CL","B2CS")))</f>
        <v/>
      </c>
      <c r="V549" s="17" t="str">
        <f aca="false">IF(A549="","",TEXT(B549,"mmm-yyyy"))</f>
        <v/>
      </c>
    </row>
    <row r="550" customFormat="false" ht="15" hidden="false" customHeight="true" outlineLevel="0" collapsed="false">
      <c r="A550" s="24"/>
      <c r="B550" s="39"/>
      <c r="C550" s="24"/>
      <c r="D550" s="24"/>
      <c r="E550" s="40"/>
      <c r="F550" s="29"/>
      <c r="G550" s="30"/>
      <c r="H550" s="17" t="str">
        <f aca="false">IF(A550="","",A550&amp;"|"&amp;COUNTIF(A$5:A550,A550))</f>
        <v/>
      </c>
      <c r="I550" s="33" t="str">
        <f aca="false">IF(A550="","",IFERROR(INDEX(Items!$B$5:$B$304,MATCH(D550,Items!$A$5:$A$304,0))&amp;"",""))</f>
        <v/>
      </c>
      <c r="J550" s="34" t="str">
        <f aca="false">IF(A550="","",IFERROR(INDEX(Items!$C$5:$C$304,MATCH(D550,Items!$A$5:$A$304,0))&amp;"",""))</f>
        <v/>
      </c>
      <c r="K550" s="35" t="n">
        <f aca="false">IF(A550="",0,IF(ISNUMBER(F550),F550,IFERROR(INDEX(Items!$D$5:$D$304,MATCH(D550,Items!$A$5:$A$304,0)),0)))</f>
        <v>0</v>
      </c>
      <c r="L550" s="35" t="n">
        <f aca="false">ROUND(N(E550)*K550*(1-N(G550)),2)</f>
        <v>0</v>
      </c>
      <c r="M550" s="36" t="n">
        <f aca="false">IF(A550="",0,IFERROR(INDEX(Items!$E$5:$E$304,MATCH(D550,Items!$A$5:$A$304,0)),0))</f>
        <v>0</v>
      </c>
      <c r="N550" s="37" t="str">
        <f aca="false">IF(A550="","",IFERROR(INDEX(Customers!$E$5:$E$204,MATCH(C550,Customers!$A$5:$A$204,0)),"?"))</f>
        <v/>
      </c>
      <c r="O550" s="38" t="str">
        <f aca="false">IF(A550="","",IF(N550=Settings!$B$17,"No","Yes"))</f>
        <v/>
      </c>
      <c r="P550" s="35" t="n">
        <f aca="false">IF(O550="Yes",ROUND(L550*M550,2),0)</f>
        <v>0</v>
      </c>
      <c r="Q550" s="35" t="n">
        <f aca="false">IF(O550="No",ROUND(L550*M550/2,2),0)</f>
        <v>0</v>
      </c>
      <c r="R550" s="35" t="n">
        <f aca="false">Q550</f>
        <v>0</v>
      </c>
      <c r="S550" s="35" t="n">
        <f aca="false">L550+P550+Q550+R550</f>
        <v>0</v>
      </c>
      <c r="T550" s="34" t="str">
        <f aca="false">IF(A550="","",IFERROR(INDEX(Customers!$B$5:$B$204,MATCH(C550,Customers!$A$5:$A$204,0))&amp;"",""))</f>
        <v/>
      </c>
      <c r="U550" s="38" t="str">
        <f aca="false">IF(A550="","",IF(T550&lt;&gt;"","B2B",IF(AND(O550="Yes",SUMIF($A$5:$A$1004,A550,$L$5:$L$1004)+SUMIF($A$5:$A$1004,A550,$P$5:$P$1004)&gt;100000),"B2CL","B2CS")))</f>
        <v/>
      </c>
      <c r="V550" s="17" t="str">
        <f aca="false">IF(A550="","",TEXT(B550,"mmm-yyyy"))</f>
        <v/>
      </c>
    </row>
    <row r="551" customFormat="false" ht="15" hidden="false" customHeight="true" outlineLevel="0" collapsed="false">
      <c r="A551" s="24"/>
      <c r="B551" s="39"/>
      <c r="C551" s="24"/>
      <c r="D551" s="24"/>
      <c r="E551" s="40"/>
      <c r="F551" s="29"/>
      <c r="G551" s="30"/>
      <c r="H551" s="17" t="str">
        <f aca="false">IF(A551="","",A551&amp;"|"&amp;COUNTIF(A$5:A551,A551))</f>
        <v/>
      </c>
      <c r="I551" s="33" t="str">
        <f aca="false">IF(A551="","",IFERROR(INDEX(Items!$B$5:$B$304,MATCH(D551,Items!$A$5:$A$304,0))&amp;"",""))</f>
        <v/>
      </c>
      <c r="J551" s="34" t="str">
        <f aca="false">IF(A551="","",IFERROR(INDEX(Items!$C$5:$C$304,MATCH(D551,Items!$A$5:$A$304,0))&amp;"",""))</f>
        <v/>
      </c>
      <c r="K551" s="35" t="n">
        <f aca="false">IF(A551="",0,IF(ISNUMBER(F551),F551,IFERROR(INDEX(Items!$D$5:$D$304,MATCH(D551,Items!$A$5:$A$304,0)),0)))</f>
        <v>0</v>
      </c>
      <c r="L551" s="35" t="n">
        <f aca="false">ROUND(N(E551)*K551*(1-N(G551)),2)</f>
        <v>0</v>
      </c>
      <c r="M551" s="36" t="n">
        <f aca="false">IF(A551="",0,IFERROR(INDEX(Items!$E$5:$E$304,MATCH(D551,Items!$A$5:$A$304,0)),0))</f>
        <v>0</v>
      </c>
      <c r="N551" s="37" t="str">
        <f aca="false">IF(A551="","",IFERROR(INDEX(Customers!$E$5:$E$204,MATCH(C551,Customers!$A$5:$A$204,0)),"?"))</f>
        <v/>
      </c>
      <c r="O551" s="38" t="str">
        <f aca="false">IF(A551="","",IF(N551=Settings!$B$17,"No","Yes"))</f>
        <v/>
      </c>
      <c r="P551" s="35" t="n">
        <f aca="false">IF(O551="Yes",ROUND(L551*M551,2),0)</f>
        <v>0</v>
      </c>
      <c r="Q551" s="35" t="n">
        <f aca="false">IF(O551="No",ROUND(L551*M551/2,2),0)</f>
        <v>0</v>
      </c>
      <c r="R551" s="35" t="n">
        <f aca="false">Q551</f>
        <v>0</v>
      </c>
      <c r="S551" s="35" t="n">
        <f aca="false">L551+P551+Q551+R551</f>
        <v>0</v>
      </c>
      <c r="T551" s="34" t="str">
        <f aca="false">IF(A551="","",IFERROR(INDEX(Customers!$B$5:$B$204,MATCH(C551,Customers!$A$5:$A$204,0))&amp;"",""))</f>
        <v/>
      </c>
      <c r="U551" s="38" t="str">
        <f aca="false">IF(A551="","",IF(T551&lt;&gt;"","B2B",IF(AND(O551="Yes",SUMIF($A$5:$A$1004,A551,$L$5:$L$1004)+SUMIF($A$5:$A$1004,A551,$P$5:$P$1004)&gt;100000),"B2CL","B2CS")))</f>
        <v/>
      </c>
      <c r="V551" s="17" t="str">
        <f aca="false">IF(A551="","",TEXT(B551,"mmm-yyyy"))</f>
        <v/>
      </c>
    </row>
    <row r="552" customFormat="false" ht="15" hidden="false" customHeight="true" outlineLevel="0" collapsed="false">
      <c r="A552" s="24"/>
      <c r="B552" s="39"/>
      <c r="C552" s="24"/>
      <c r="D552" s="24"/>
      <c r="E552" s="40"/>
      <c r="F552" s="29"/>
      <c r="G552" s="30"/>
      <c r="H552" s="17" t="str">
        <f aca="false">IF(A552="","",A552&amp;"|"&amp;COUNTIF(A$5:A552,A552))</f>
        <v/>
      </c>
      <c r="I552" s="33" t="str">
        <f aca="false">IF(A552="","",IFERROR(INDEX(Items!$B$5:$B$304,MATCH(D552,Items!$A$5:$A$304,0))&amp;"",""))</f>
        <v/>
      </c>
      <c r="J552" s="34" t="str">
        <f aca="false">IF(A552="","",IFERROR(INDEX(Items!$C$5:$C$304,MATCH(D552,Items!$A$5:$A$304,0))&amp;"",""))</f>
        <v/>
      </c>
      <c r="K552" s="35" t="n">
        <f aca="false">IF(A552="",0,IF(ISNUMBER(F552),F552,IFERROR(INDEX(Items!$D$5:$D$304,MATCH(D552,Items!$A$5:$A$304,0)),0)))</f>
        <v>0</v>
      </c>
      <c r="L552" s="35" t="n">
        <f aca="false">ROUND(N(E552)*K552*(1-N(G552)),2)</f>
        <v>0</v>
      </c>
      <c r="M552" s="36" t="n">
        <f aca="false">IF(A552="",0,IFERROR(INDEX(Items!$E$5:$E$304,MATCH(D552,Items!$A$5:$A$304,0)),0))</f>
        <v>0</v>
      </c>
      <c r="N552" s="37" t="str">
        <f aca="false">IF(A552="","",IFERROR(INDEX(Customers!$E$5:$E$204,MATCH(C552,Customers!$A$5:$A$204,0)),"?"))</f>
        <v/>
      </c>
      <c r="O552" s="38" t="str">
        <f aca="false">IF(A552="","",IF(N552=Settings!$B$17,"No","Yes"))</f>
        <v/>
      </c>
      <c r="P552" s="35" t="n">
        <f aca="false">IF(O552="Yes",ROUND(L552*M552,2),0)</f>
        <v>0</v>
      </c>
      <c r="Q552" s="35" t="n">
        <f aca="false">IF(O552="No",ROUND(L552*M552/2,2),0)</f>
        <v>0</v>
      </c>
      <c r="R552" s="35" t="n">
        <f aca="false">Q552</f>
        <v>0</v>
      </c>
      <c r="S552" s="35" t="n">
        <f aca="false">L552+P552+Q552+R552</f>
        <v>0</v>
      </c>
      <c r="T552" s="34" t="str">
        <f aca="false">IF(A552="","",IFERROR(INDEX(Customers!$B$5:$B$204,MATCH(C552,Customers!$A$5:$A$204,0))&amp;"",""))</f>
        <v/>
      </c>
      <c r="U552" s="38" t="str">
        <f aca="false">IF(A552="","",IF(T552&lt;&gt;"","B2B",IF(AND(O552="Yes",SUMIF($A$5:$A$1004,A552,$L$5:$L$1004)+SUMIF($A$5:$A$1004,A552,$P$5:$P$1004)&gt;100000),"B2CL","B2CS")))</f>
        <v/>
      </c>
      <c r="V552" s="17" t="str">
        <f aca="false">IF(A552="","",TEXT(B552,"mmm-yyyy"))</f>
        <v/>
      </c>
    </row>
    <row r="553" customFormat="false" ht="15" hidden="false" customHeight="true" outlineLevel="0" collapsed="false">
      <c r="A553" s="24"/>
      <c r="B553" s="39"/>
      <c r="C553" s="24"/>
      <c r="D553" s="24"/>
      <c r="E553" s="40"/>
      <c r="F553" s="29"/>
      <c r="G553" s="30"/>
      <c r="H553" s="17" t="str">
        <f aca="false">IF(A553="","",A553&amp;"|"&amp;COUNTIF(A$5:A553,A553))</f>
        <v/>
      </c>
      <c r="I553" s="33" t="str">
        <f aca="false">IF(A553="","",IFERROR(INDEX(Items!$B$5:$B$304,MATCH(D553,Items!$A$5:$A$304,0))&amp;"",""))</f>
        <v/>
      </c>
      <c r="J553" s="34" t="str">
        <f aca="false">IF(A553="","",IFERROR(INDEX(Items!$C$5:$C$304,MATCH(D553,Items!$A$5:$A$304,0))&amp;"",""))</f>
        <v/>
      </c>
      <c r="K553" s="35" t="n">
        <f aca="false">IF(A553="",0,IF(ISNUMBER(F553),F553,IFERROR(INDEX(Items!$D$5:$D$304,MATCH(D553,Items!$A$5:$A$304,0)),0)))</f>
        <v>0</v>
      </c>
      <c r="L553" s="35" t="n">
        <f aca="false">ROUND(N(E553)*K553*(1-N(G553)),2)</f>
        <v>0</v>
      </c>
      <c r="M553" s="36" t="n">
        <f aca="false">IF(A553="",0,IFERROR(INDEX(Items!$E$5:$E$304,MATCH(D553,Items!$A$5:$A$304,0)),0))</f>
        <v>0</v>
      </c>
      <c r="N553" s="37" t="str">
        <f aca="false">IF(A553="","",IFERROR(INDEX(Customers!$E$5:$E$204,MATCH(C553,Customers!$A$5:$A$204,0)),"?"))</f>
        <v/>
      </c>
      <c r="O553" s="38" t="str">
        <f aca="false">IF(A553="","",IF(N553=Settings!$B$17,"No","Yes"))</f>
        <v/>
      </c>
      <c r="P553" s="35" t="n">
        <f aca="false">IF(O553="Yes",ROUND(L553*M553,2),0)</f>
        <v>0</v>
      </c>
      <c r="Q553" s="35" t="n">
        <f aca="false">IF(O553="No",ROUND(L553*M553/2,2),0)</f>
        <v>0</v>
      </c>
      <c r="R553" s="35" t="n">
        <f aca="false">Q553</f>
        <v>0</v>
      </c>
      <c r="S553" s="35" t="n">
        <f aca="false">L553+P553+Q553+R553</f>
        <v>0</v>
      </c>
      <c r="T553" s="34" t="str">
        <f aca="false">IF(A553="","",IFERROR(INDEX(Customers!$B$5:$B$204,MATCH(C553,Customers!$A$5:$A$204,0))&amp;"",""))</f>
        <v/>
      </c>
      <c r="U553" s="38" t="str">
        <f aca="false">IF(A553="","",IF(T553&lt;&gt;"","B2B",IF(AND(O553="Yes",SUMIF($A$5:$A$1004,A553,$L$5:$L$1004)+SUMIF($A$5:$A$1004,A553,$P$5:$P$1004)&gt;100000),"B2CL","B2CS")))</f>
        <v/>
      </c>
      <c r="V553" s="17" t="str">
        <f aca="false">IF(A553="","",TEXT(B553,"mmm-yyyy"))</f>
        <v/>
      </c>
    </row>
    <row r="554" customFormat="false" ht="15" hidden="false" customHeight="true" outlineLevel="0" collapsed="false">
      <c r="A554" s="24"/>
      <c r="B554" s="39"/>
      <c r="C554" s="24"/>
      <c r="D554" s="24"/>
      <c r="E554" s="40"/>
      <c r="F554" s="29"/>
      <c r="G554" s="30"/>
      <c r="H554" s="17" t="str">
        <f aca="false">IF(A554="","",A554&amp;"|"&amp;COUNTIF(A$5:A554,A554))</f>
        <v/>
      </c>
      <c r="I554" s="33" t="str">
        <f aca="false">IF(A554="","",IFERROR(INDEX(Items!$B$5:$B$304,MATCH(D554,Items!$A$5:$A$304,0))&amp;"",""))</f>
        <v/>
      </c>
      <c r="J554" s="34" t="str">
        <f aca="false">IF(A554="","",IFERROR(INDEX(Items!$C$5:$C$304,MATCH(D554,Items!$A$5:$A$304,0))&amp;"",""))</f>
        <v/>
      </c>
      <c r="K554" s="35" t="n">
        <f aca="false">IF(A554="",0,IF(ISNUMBER(F554),F554,IFERROR(INDEX(Items!$D$5:$D$304,MATCH(D554,Items!$A$5:$A$304,0)),0)))</f>
        <v>0</v>
      </c>
      <c r="L554" s="35" t="n">
        <f aca="false">ROUND(N(E554)*K554*(1-N(G554)),2)</f>
        <v>0</v>
      </c>
      <c r="M554" s="36" t="n">
        <f aca="false">IF(A554="",0,IFERROR(INDEX(Items!$E$5:$E$304,MATCH(D554,Items!$A$5:$A$304,0)),0))</f>
        <v>0</v>
      </c>
      <c r="N554" s="37" t="str">
        <f aca="false">IF(A554="","",IFERROR(INDEX(Customers!$E$5:$E$204,MATCH(C554,Customers!$A$5:$A$204,0)),"?"))</f>
        <v/>
      </c>
      <c r="O554" s="38" t="str">
        <f aca="false">IF(A554="","",IF(N554=Settings!$B$17,"No","Yes"))</f>
        <v/>
      </c>
      <c r="P554" s="35" t="n">
        <f aca="false">IF(O554="Yes",ROUND(L554*M554,2),0)</f>
        <v>0</v>
      </c>
      <c r="Q554" s="35" t="n">
        <f aca="false">IF(O554="No",ROUND(L554*M554/2,2),0)</f>
        <v>0</v>
      </c>
      <c r="R554" s="35" t="n">
        <f aca="false">Q554</f>
        <v>0</v>
      </c>
      <c r="S554" s="35" t="n">
        <f aca="false">L554+P554+Q554+R554</f>
        <v>0</v>
      </c>
      <c r="T554" s="34" t="str">
        <f aca="false">IF(A554="","",IFERROR(INDEX(Customers!$B$5:$B$204,MATCH(C554,Customers!$A$5:$A$204,0))&amp;"",""))</f>
        <v/>
      </c>
      <c r="U554" s="38" t="str">
        <f aca="false">IF(A554="","",IF(T554&lt;&gt;"","B2B",IF(AND(O554="Yes",SUMIF($A$5:$A$1004,A554,$L$5:$L$1004)+SUMIF($A$5:$A$1004,A554,$P$5:$P$1004)&gt;100000),"B2CL","B2CS")))</f>
        <v/>
      </c>
      <c r="V554" s="17" t="str">
        <f aca="false">IF(A554="","",TEXT(B554,"mmm-yyyy"))</f>
        <v/>
      </c>
    </row>
    <row r="555" customFormat="false" ht="15" hidden="false" customHeight="true" outlineLevel="0" collapsed="false">
      <c r="A555" s="24"/>
      <c r="B555" s="39"/>
      <c r="C555" s="24"/>
      <c r="D555" s="24"/>
      <c r="E555" s="40"/>
      <c r="F555" s="29"/>
      <c r="G555" s="30"/>
      <c r="H555" s="17" t="str">
        <f aca="false">IF(A555="","",A555&amp;"|"&amp;COUNTIF(A$5:A555,A555))</f>
        <v/>
      </c>
      <c r="I555" s="33" t="str">
        <f aca="false">IF(A555="","",IFERROR(INDEX(Items!$B$5:$B$304,MATCH(D555,Items!$A$5:$A$304,0))&amp;"",""))</f>
        <v/>
      </c>
      <c r="J555" s="34" t="str">
        <f aca="false">IF(A555="","",IFERROR(INDEX(Items!$C$5:$C$304,MATCH(D555,Items!$A$5:$A$304,0))&amp;"",""))</f>
        <v/>
      </c>
      <c r="K555" s="35" t="n">
        <f aca="false">IF(A555="",0,IF(ISNUMBER(F555),F555,IFERROR(INDEX(Items!$D$5:$D$304,MATCH(D555,Items!$A$5:$A$304,0)),0)))</f>
        <v>0</v>
      </c>
      <c r="L555" s="35" t="n">
        <f aca="false">ROUND(N(E555)*K555*(1-N(G555)),2)</f>
        <v>0</v>
      </c>
      <c r="M555" s="36" t="n">
        <f aca="false">IF(A555="",0,IFERROR(INDEX(Items!$E$5:$E$304,MATCH(D555,Items!$A$5:$A$304,0)),0))</f>
        <v>0</v>
      </c>
      <c r="N555" s="37" t="str">
        <f aca="false">IF(A555="","",IFERROR(INDEX(Customers!$E$5:$E$204,MATCH(C555,Customers!$A$5:$A$204,0)),"?"))</f>
        <v/>
      </c>
      <c r="O555" s="38" t="str">
        <f aca="false">IF(A555="","",IF(N555=Settings!$B$17,"No","Yes"))</f>
        <v/>
      </c>
      <c r="P555" s="35" t="n">
        <f aca="false">IF(O555="Yes",ROUND(L555*M555,2),0)</f>
        <v>0</v>
      </c>
      <c r="Q555" s="35" t="n">
        <f aca="false">IF(O555="No",ROUND(L555*M555/2,2),0)</f>
        <v>0</v>
      </c>
      <c r="R555" s="35" t="n">
        <f aca="false">Q555</f>
        <v>0</v>
      </c>
      <c r="S555" s="35" t="n">
        <f aca="false">L555+P555+Q555+R555</f>
        <v>0</v>
      </c>
      <c r="T555" s="34" t="str">
        <f aca="false">IF(A555="","",IFERROR(INDEX(Customers!$B$5:$B$204,MATCH(C555,Customers!$A$5:$A$204,0))&amp;"",""))</f>
        <v/>
      </c>
      <c r="U555" s="38" t="str">
        <f aca="false">IF(A555="","",IF(T555&lt;&gt;"","B2B",IF(AND(O555="Yes",SUMIF($A$5:$A$1004,A555,$L$5:$L$1004)+SUMIF($A$5:$A$1004,A555,$P$5:$P$1004)&gt;100000),"B2CL","B2CS")))</f>
        <v/>
      </c>
      <c r="V555" s="17" t="str">
        <f aca="false">IF(A555="","",TEXT(B555,"mmm-yyyy"))</f>
        <v/>
      </c>
    </row>
    <row r="556" customFormat="false" ht="15" hidden="false" customHeight="true" outlineLevel="0" collapsed="false">
      <c r="A556" s="24"/>
      <c r="B556" s="39"/>
      <c r="C556" s="24"/>
      <c r="D556" s="24"/>
      <c r="E556" s="40"/>
      <c r="F556" s="29"/>
      <c r="G556" s="30"/>
      <c r="H556" s="17" t="str">
        <f aca="false">IF(A556="","",A556&amp;"|"&amp;COUNTIF(A$5:A556,A556))</f>
        <v/>
      </c>
      <c r="I556" s="33" t="str">
        <f aca="false">IF(A556="","",IFERROR(INDEX(Items!$B$5:$B$304,MATCH(D556,Items!$A$5:$A$304,0))&amp;"",""))</f>
        <v/>
      </c>
      <c r="J556" s="34" t="str">
        <f aca="false">IF(A556="","",IFERROR(INDEX(Items!$C$5:$C$304,MATCH(D556,Items!$A$5:$A$304,0))&amp;"",""))</f>
        <v/>
      </c>
      <c r="K556" s="35" t="n">
        <f aca="false">IF(A556="",0,IF(ISNUMBER(F556),F556,IFERROR(INDEX(Items!$D$5:$D$304,MATCH(D556,Items!$A$5:$A$304,0)),0)))</f>
        <v>0</v>
      </c>
      <c r="L556" s="35" t="n">
        <f aca="false">ROUND(N(E556)*K556*(1-N(G556)),2)</f>
        <v>0</v>
      </c>
      <c r="M556" s="36" t="n">
        <f aca="false">IF(A556="",0,IFERROR(INDEX(Items!$E$5:$E$304,MATCH(D556,Items!$A$5:$A$304,0)),0))</f>
        <v>0</v>
      </c>
      <c r="N556" s="37" t="str">
        <f aca="false">IF(A556="","",IFERROR(INDEX(Customers!$E$5:$E$204,MATCH(C556,Customers!$A$5:$A$204,0)),"?"))</f>
        <v/>
      </c>
      <c r="O556" s="38" t="str">
        <f aca="false">IF(A556="","",IF(N556=Settings!$B$17,"No","Yes"))</f>
        <v/>
      </c>
      <c r="P556" s="35" t="n">
        <f aca="false">IF(O556="Yes",ROUND(L556*M556,2),0)</f>
        <v>0</v>
      </c>
      <c r="Q556" s="35" t="n">
        <f aca="false">IF(O556="No",ROUND(L556*M556/2,2),0)</f>
        <v>0</v>
      </c>
      <c r="R556" s="35" t="n">
        <f aca="false">Q556</f>
        <v>0</v>
      </c>
      <c r="S556" s="35" t="n">
        <f aca="false">L556+P556+Q556+R556</f>
        <v>0</v>
      </c>
      <c r="T556" s="34" t="str">
        <f aca="false">IF(A556="","",IFERROR(INDEX(Customers!$B$5:$B$204,MATCH(C556,Customers!$A$5:$A$204,0))&amp;"",""))</f>
        <v/>
      </c>
      <c r="U556" s="38" t="str">
        <f aca="false">IF(A556="","",IF(T556&lt;&gt;"","B2B",IF(AND(O556="Yes",SUMIF($A$5:$A$1004,A556,$L$5:$L$1004)+SUMIF($A$5:$A$1004,A556,$P$5:$P$1004)&gt;100000),"B2CL","B2CS")))</f>
        <v/>
      </c>
      <c r="V556" s="17" t="str">
        <f aca="false">IF(A556="","",TEXT(B556,"mmm-yyyy"))</f>
        <v/>
      </c>
    </row>
    <row r="557" customFormat="false" ht="15" hidden="false" customHeight="true" outlineLevel="0" collapsed="false">
      <c r="A557" s="24"/>
      <c r="B557" s="39"/>
      <c r="C557" s="24"/>
      <c r="D557" s="24"/>
      <c r="E557" s="40"/>
      <c r="F557" s="29"/>
      <c r="G557" s="30"/>
      <c r="H557" s="17" t="str">
        <f aca="false">IF(A557="","",A557&amp;"|"&amp;COUNTIF(A$5:A557,A557))</f>
        <v/>
      </c>
      <c r="I557" s="33" t="str">
        <f aca="false">IF(A557="","",IFERROR(INDEX(Items!$B$5:$B$304,MATCH(D557,Items!$A$5:$A$304,0))&amp;"",""))</f>
        <v/>
      </c>
      <c r="J557" s="34" t="str">
        <f aca="false">IF(A557="","",IFERROR(INDEX(Items!$C$5:$C$304,MATCH(D557,Items!$A$5:$A$304,0))&amp;"",""))</f>
        <v/>
      </c>
      <c r="K557" s="35" t="n">
        <f aca="false">IF(A557="",0,IF(ISNUMBER(F557),F557,IFERROR(INDEX(Items!$D$5:$D$304,MATCH(D557,Items!$A$5:$A$304,0)),0)))</f>
        <v>0</v>
      </c>
      <c r="L557" s="35" t="n">
        <f aca="false">ROUND(N(E557)*K557*(1-N(G557)),2)</f>
        <v>0</v>
      </c>
      <c r="M557" s="36" t="n">
        <f aca="false">IF(A557="",0,IFERROR(INDEX(Items!$E$5:$E$304,MATCH(D557,Items!$A$5:$A$304,0)),0))</f>
        <v>0</v>
      </c>
      <c r="N557" s="37" t="str">
        <f aca="false">IF(A557="","",IFERROR(INDEX(Customers!$E$5:$E$204,MATCH(C557,Customers!$A$5:$A$204,0)),"?"))</f>
        <v/>
      </c>
      <c r="O557" s="38" t="str">
        <f aca="false">IF(A557="","",IF(N557=Settings!$B$17,"No","Yes"))</f>
        <v/>
      </c>
      <c r="P557" s="35" t="n">
        <f aca="false">IF(O557="Yes",ROUND(L557*M557,2),0)</f>
        <v>0</v>
      </c>
      <c r="Q557" s="35" t="n">
        <f aca="false">IF(O557="No",ROUND(L557*M557/2,2),0)</f>
        <v>0</v>
      </c>
      <c r="R557" s="35" t="n">
        <f aca="false">Q557</f>
        <v>0</v>
      </c>
      <c r="S557" s="35" t="n">
        <f aca="false">L557+P557+Q557+R557</f>
        <v>0</v>
      </c>
      <c r="T557" s="34" t="str">
        <f aca="false">IF(A557="","",IFERROR(INDEX(Customers!$B$5:$B$204,MATCH(C557,Customers!$A$5:$A$204,0))&amp;"",""))</f>
        <v/>
      </c>
      <c r="U557" s="38" t="str">
        <f aca="false">IF(A557="","",IF(T557&lt;&gt;"","B2B",IF(AND(O557="Yes",SUMIF($A$5:$A$1004,A557,$L$5:$L$1004)+SUMIF($A$5:$A$1004,A557,$P$5:$P$1004)&gt;100000),"B2CL","B2CS")))</f>
        <v/>
      </c>
      <c r="V557" s="17" t="str">
        <f aca="false">IF(A557="","",TEXT(B557,"mmm-yyyy"))</f>
        <v/>
      </c>
    </row>
    <row r="558" customFormat="false" ht="15" hidden="false" customHeight="true" outlineLevel="0" collapsed="false">
      <c r="A558" s="24"/>
      <c r="B558" s="39"/>
      <c r="C558" s="24"/>
      <c r="D558" s="24"/>
      <c r="E558" s="40"/>
      <c r="F558" s="29"/>
      <c r="G558" s="30"/>
      <c r="H558" s="17" t="str">
        <f aca="false">IF(A558="","",A558&amp;"|"&amp;COUNTIF(A$5:A558,A558))</f>
        <v/>
      </c>
      <c r="I558" s="33" t="str">
        <f aca="false">IF(A558="","",IFERROR(INDEX(Items!$B$5:$B$304,MATCH(D558,Items!$A$5:$A$304,0))&amp;"",""))</f>
        <v/>
      </c>
      <c r="J558" s="34" t="str">
        <f aca="false">IF(A558="","",IFERROR(INDEX(Items!$C$5:$C$304,MATCH(D558,Items!$A$5:$A$304,0))&amp;"",""))</f>
        <v/>
      </c>
      <c r="K558" s="35" t="n">
        <f aca="false">IF(A558="",0,IF(ISNUMBER(F558),F558,IFERROR(INDEX(Items!$D$5:$D$304,MATCH(D558,Items!$A$5:$A$304,0)),0)))</f>
        <v>0</v>
      </c>
      <c r="L558" s="35" t="n">
        <f aca="false">ROUND(N(E558)*K558*(1-N(G558)),2)</f>
        <v>0</v>
      </c>
      <c r="M558" s="36" t="n">
        <f aca="false">IF(A558="",0,IFERROR(INDEX(Items!$E$5:$E$304,MATCH(D558,Items!$A$5:$A$304,0)),0))</f>
        <v>0</v>
      </c>
      <c r="N558" s="37" t="str">
        <f aca="false">IF(A558="","",IFERROR(INDEX(Customers!$E$5:$E$204,MATCH(C558,Customers!$A$5:$A$204,0)),"?"))</f>
        <v/>
      </c>
      <c r="O558" s="38" t="str">
        <f aca="false">IF(A558="","",IF(N558=Settings!$B$17,"No","Yes"))</f>
        <v/>
      </c>
      <c r="P558" s="35" t="n">
        <f aca="false">IF(O558="Yes",ROUND(L558*M558,2),0)</f>
        <v>0</v>
      </c>
      <c r="Q558" s="35" t="n">
        <f aca="false">IF(O558="No",ROUND(L558*M558/2,2),0)</f>
        <v>0</v>
      </c>
      <c r="R558" s="35" t="n">
        <f aca="false">Q558</f>
        <v>0</v>
      </c>
      <c r="S558" s="35" t="n">
        <f aca="false">L558+P558+Q558+R558</f>
        <v>0</v>
      </c>
      <c r="T558" s="34" t="str">
        <f aca="false">IF(A558="","",IFERROR(INDEX(Customers!$B$5:$B$204,MATCH(C558,Customers!$A$5:$A$204,0))&amp;"",""))</f>
        <v/>
      </c>
      <c r="U558" s="38" t="str">
        <f aca="false">IF(A558="","",IF(T558&lt;&gt;"","B2B",IF(AND(O558="Yes",SUMIF($A$5:$A$1004,A558,$L$5:$L$1004)+SUMIF($A$5:$A$1004,A558,$P$5:$P$1004)&gt;100000),"B2CL","B2CS")))</f>
        <v/>
      </c>
      <c r="V558" s="17" t="str">
        <f aca="false">IF(A558="","",TEXT(B558,"mmm-yyyy"))</f>
        <v/>
      </c>
    </row>
    <row r="559" customFormat="false" ht="15" hidden="false" customHeight="true" outlineLevel="0" collapsed="false">
      <c r="A559" s="24"/>
      <c r="B559" s="39"/>
      <c r="C559" s="24"/>
      <c r="D559" s="24"/>
      <c r="E559" s="40"/>
      <c r="F559" s="29"/>
      <c r="G559" s="30"/>
      <c r="H559" s="17" t="str">
        <f aca="false">IF(A559="","",A559&amp;"|"&amp;COUNTIF(A$5:A559,A559))</f>
        <v/>
      </c>
      <c r="I559" s="33" t="str">
        <f aca="false">IF(A559="","",IFERROR(INDEX(Items!$B$5:$B$304,MATCH(D559,Items!$A$5:$A$304,0))&amp;"",""))</f>
        <v/>
      </c>
      <c r="J559" s="34" t="str">
        <f aca="false">IF(A559="","",IFERROR(INDEX(Items!$C$5:$C$304,MATCH(D559,Items!$A$5:$A$304,0))&amp;"",""))</f>
        <v/>
      </c>
      <c r="K559" s="35" t="n">
        <f aca="false">IF(A559="",0,IF(ISNUMBER(F559),F559,IFERROR(INDEX(Items!$D$5:$D$304,MATCH(D559,Items!$A$5:$A$304,0)),0)))</f>
        <v>0</v>
      </c>
      <c r="L559" s="35" t="n">
        <f aca="false">ROUND(N(E559)*K559*(1-N(G559)),2)</f>
        <v>0</v>
      </c>
      <c r="M559" s="36" t="n">
        <f aca="false">IF(A559="",0,IFERROR(INDEX(Items!$E$5:$E$304,MATCH(D559,Items!$A$5:$A$304,0)),0))</f>
        <v>0</v>
      </c>
      <c r="N559" s="37" t="str">
        <f aca="false">IF(A559="","",IFERROR(INDEX(Customers!$E$5:$E$204,MATCH(C559,Customers!$A$5:$A$204,0)),"?"))</f>
        <v/>
      </c>
      <c r="O559" s="38" t="str">
        <f aca="false">IF(A559="","",IF(N559=Settings!$B$17,"No","Yes"))</f>
        <v/>
      </c>
      <c r="P559" s="35" t="n">
        <f aca="false">IF(O559="Yes",ROUND(L559*M559,2),0)</f>
        <v>0</v>
      </c>
      <c r="Q559" s="35" t="n">
        <f aca="false">IF(O559="No",ROUND(L559*M559/2,2),0)</f>
        <v>0</v>
      </c>
      <c r="R559" s="35" t="n">
        <f aca="false">Q559</f>
        <v>0</v>
      </c>
      <c r="S559" s="35" t="n">
        <f aca="false">L559+P559+Q559+R559</f>
        <v>0</v>
      </c>
      <c r="T559" s="34" t="str">
        <f aca="false">IF(A559="","",IFERROR(INDEX(Customers!$B$5:$B$204,MATCH(C559,Customers!$A$5:$A$204,0))&amp;"",""))</f>
        <v/>
      </c>
      <c r="U559" s="38" t="str">
        <f aca="false">IF(A559="","",IF(T559&lt;&gt;"","B2B",IF(AND(O559="Yes",SUMIF($A$5:$A$1004,A559,$L$5:$L$1004)+SUMIF($A$5:$A$1004,A559,$P$5:$P$1004)&gt;100000),"B2CL","B2CS")))</f>
        <v/>
      </c>
      <c r="V559" s="17" t="str">
        <f aca="false">IF(A559="","",TEXT(B559,"mmm-yyyy"))</f>
        <v/>
      </c>
    </row>
    <row r="560" customFormat="false" ht="15" hidden="false" customHeight="true" outlineLevel="0" collapsed="false">
      <c r="A560" s="24"/>
      <c r="B560" s="39"/>
      <c r="C560" s="24"/>
      <c r="D560" s="24"/>
      <c r="E560" s="40"/>
      <c r="F560" s="29"/>
      <c r="G560" s="30"/>
      <c r="H560" s="17" t="str">
        <f aca="false">IF(A560="","",A560&amp;"|"&amp;COUNTIF(A$5:A560,A560))</f>
        <v/>
      </c>
      <c r="I560" s="33" t="str">
        <f aca="false">IF(A560="","",IFERROR(INDEX(Items!$B$5:$B$304,MATCH(D560,Items!$A$5:$A$304,0))&amp;"",""))</f>
        <v/>
      </c>
      <c r="J560" s="34" t="str">
        <f aca="false">IF(A560="","",IFERROR(INDEX(Items!$C$5:$C$304,MATCH(D560,Items!$A$5:$A$304,0))&amp;"",""))</f>
        <v/>
      </c>
      <c r="K560" s="35" t="n">
        <f aca="false">IF(A560="",0,IF(ISNUMBER(F560),F560,IFERROR(INDEX(Items!$D$5:$D$304,MATCH(D560,Items!$A$5:$A$304,0)),0)))</f>
        <v>0</v>
      </c>
      <c r="L560" s="35" t="n">
        <f aca="false">ROUND(N(E560)*K560*(1-N(G560)),2)</f>
        <v>0</v>
      </c>
      <c r="M560" s="36" t="n">
        <f aca="false">IF(A560="",0,IFERROR(INDEX(Items!$E$5:$E$304,MATCH(D560,Items!$A$5:$A$304,0)),0))</f>
        <v>0</v>
      </c>
      <c r="N560" s="37" t="str">
        <f aca="false">IF(A560="","",IFERROR(INDEX(Customers!$E$5:$E$204,MATCH(C560,Customers!$A$5:$A$204,0)),"?"))</f>
        <v/>
      </c>
      <c r="O560" s="38" t="str">
        <f aca="false">IF(A560="","",IF(N560=Settings!$B$17,"No","Yes"))</f>
        <v/>
      </c>
      <c r="P560" s="35" t="n">
        <f aca="false">IF(O560="Yes",ROUND(L560*M560,2),0)</f>
        <v>0</v>
      </c>
      <c r="Q560" s="35" t="n">
        <f aca="false">IF(O560="No",ROUND(L560*M560/2,2),0)</f>
        <v>0</v>
      </c>
      <c r="R560" s="35" t="n">
        <f aca="false">Q560</f>
        <v>0</v>
      </c>
      <c r="S560" s="35" t="n">
        <f aca="false">L560+P560+Q560+R560</f>
        <v>0</v>
      </c>
      <c r="T560" s="34" t="str">
        <f aca="false">IF(A560="","",IFERROR(INDEX(Customers!$B$5:$B$204,MATCH(C560,Customers!$A$5:$A$204,0))&amp;"",""))</f>
        <v/>
      </c>
      <c r="U560" s="38" t="str">
        <f aca="false">IF(A560="","",IF(T560&lt;&gt;"","B2B",IF(AND(O560="Yes",SUMIF($A$5:$A$1004,A560,$L$5:$L$1004)+SUMIF($A$5:$A$1004,A560,$P$5:$P$1004)&gt;100000),"B2CL","B2CS")))</f>
        <v/>
      </c>
      <c r="V560" s="17" t="str">
        <f aca="false">IF(A560="","",TEXT(B560,"mmm-yyyy"))</f>
        <v/>
      </c>
    </row>
    <row r="561" customFormat="false" ht="15" hidden="false" customHeight="true" outlineLevel="0" collapsed="false">
      <c r="A561" s="24"/>
      <c r="B561" s="39"/>
      <c r="C561" s="24"/>
      <c r="D561" s="24"/>
      <c r="E561" s="40"/>
      <c r="F561" s="29"/>
      <c r="G561" s="30"/>
      <c r="H561" s="17" t="str">
        <f aca="false">IF(A561="","",A561&amp;"|"&amp;COUNTIF(A$5:A561,A561))</f>
        <v/>
      </c>
      <c r="I561" s="33" t="str">
        <f aca="false">IF(A561="","",IFERROR(INDEX(Items!$B$5:$B$304,MATCH(D561,Items!$A$5:$A$304,0))&amp;"",""))</f>
        <v/>
      </c>
      <c r="J561" s="34" t="str">
        <f aca="false">IF(A561="","",IFERROR(INDEX(Items!$C$5:$C$304,MATCH(D561,Items!$A$5:$A$304,0))&amp;"",""))</f>
        <v/>
      </c>
      <c r="K561" s="35" t="n">
        <f aca="false">IF(A561="",0,IF(ISNUMBER(F561),F561,IFERROR(INDEX(Items!$D$5:$D$304,MATCH(D561,Items!$A$5:$A$304,0)),0)))</f>
        <v>0</v>
      </c>
      <c r="L561" s="35" t="n">
        <f aca="false">ROUND(N(E561)*K561*(1-N(G561)),2)</f>
        <v>0</v>
      </c>
      <c r="M561" s="36" t="n">
        <f aca="false">IF(A561="",0,IFERROR(INDEX(Items!$E$5:$E$304,MATCH(D561,Items!$A$5:$A$304,0)),0))</f>
        <v>0</v>
      </c>
      <c r="N561" s="37" t="str">
        <f aca="false">IF(A561="","",IFERROR(INDEX(Customers!$E$5:$E$204,MATCH(C561,Customers!$A$5:$A$204,0)),"?"))</f>
        <v/>
      </c>
      <c r="O561" s="38" t="str">
        <f aca="false">IF(A561="","",IF(N561=Settings!$B$17,"No","Yes"))</f>
        <v/>
      </c>
      <c r="P561" s="35" t="n">
        <f aca="false">IF(O561="Yes",ROUND(L561*M561,2),0)</f>
        <v>0</v>
      </c>
      <c r="Q561" s="35" t="n">
        <f aca="false">IF(O561="No",ROUND(L561*M561/2,2),0)</f>
        <v>0</v>
      </c>
      <c r="R561" s="35" t="n">
        <f aca="false">Q561</f>
        <v>0</v>
      </c>
      <c r="S561" s="35" t="n">
        <f aca="false">L561+P561+Q561+R561</f>
        <v>0</v>
      </c>
      <c r="T561" s="34" t="str">
        <f aca="false">IF(A561="","",IFERROR(INDEX(Customers!$B$5:$B$204,MATCH(C561,Customers!$A$5:$A$204,0))&amp;"",""))</f>
        <v/>
      </c>
      <c r="U561" s="38" t="str">
        <f aca="false">IF(A561="","",IF(T561&lt;&gt;"","B2B",IF(AND(O561="Yes",SUMIF($A$5:$A$1004,A561,$L$5:$L$1004)+SUMIF($A$5:$A$1004,A561,$P$5:$P$1004)&gt;100000),"B2CL","B2CS")))</f>
        <v/>
      </c>
      <c r="V561" s="17" t="str">
        <f aca="false">IF(A561="","",TEXT(B561,"mmm-yyyy"))</f>
        <v/>
      </c>
    </row>
    <row r="562" customFormat="false" ht="15" hidden="false" customHeight="true" outlineLevel="0" collapsed="false">
      <c r="A562" s="24"/>
      <c r="B562" s="39"/>
      <c r="C562" s="24"/>
      <c r="D562" s="24"/>
      <c r="E562" s="40"/>
      <c r="F562" s="29"/>
      <c r="G562" s="30"/>
      <c r="H562" s="17" t="str">
        <f aca="false">IF(A562="","",A562&amp;"|"&amp;COUNTIF(A$5:A562,A562))</f>
        <v/>
      </c>
      <c r="I562" s="33" t="str">
        <f aca="false">IF(A562="","",IFERROR(INDEX(Items!$B$5:$B$304,MATCH(D562,Items!$A$5:$A$304,0))&amp;"",""))</f>
        <v/>
      </c>
      <c r="J562" s="34" t="str">
        <f aca="false">IF(A562="","",IFERROR(INDEX(Items!$C$5:$C$304,MATCH(D562,Items!$A$5:$A$304,0))&amp;"",""))</f>
        <v/>
      </c>
      <c r="K562" s="35" t="n">
        <f aca="false">IF(A562="",0,IF(ISNUMBER(F562),F562,IFERROR(INDEX(Items!$D$5:$D$304,MATCH(D562,Items!$A$5:$A$304,0)),0)))</f>
        <v>0</v>
      </c>
      <c r="L562" s="35" t="n">
        <f aca="false">ROUND(N(E562)*K562*(1-N(G562)),2)</f>
        <v>0</v>
      </c>
      <c r="M562" s="36" t="n">
        <f aca="false">IF(A562="",0,IFERROR(INDEX(Items!$E$5:$E$304,MATCH(D562,Items!$A$5:$A$304,0)),0))</f>
        <v>0</v>
      </c>
      <c r="N562" s="37" t="str">
        <f aca="false">IF(A562="","",IFERROR(INDEX(Customers!$E$5:$E$204,MATCH(C562,Customers!$A$5:$A$204,0)),"?"))</f>
        <v/>
      </c>
      <c r="O562" s="38" t="str">
        <f aca="false">IF(A562="","",IF(N562=Settings!$B$17,"No","Yes"))</f>
        <v/>
      </c>
      <c r="P562" s="35" t="n">
        <f aca="false">IF(O562="Yes",ROUND(L562*M562,2),0)</f>
        <v>0</v>
      </c>
      <c r="Q562" s="35" t="n">
        <f aca="false">IF(O562="No",ROUND(L562*M562/2,2),0)</f>
        <v>0</v>
      </c>
      <c r="R562" s="35" t="n">
        <f aca="false">Q562</f>
        <v>0</v>
      </c>
      <c r="S562" s="35" t="n">
        <f aca="false">L562+P562+Q562+R562</f>
        <v>0</v>
      </c>
      <c r="T562" s="34" t="str">
        <f aca="false">IF(A562="","",IFERROR(INDEX(Customers!$B$5:$B$204,MATCH(C562,Customers!$A$5:$A$204,0))&amp;"",""))</f>
        <v/>
      </c>
      <c r="U562" s="38" t="str">
        <f aca="false">IF(A562="","",IF(T562&lt;&gt;"","B2B",IF(AND(O562="Yes",SUMIF($A$5:$A$1004,A562,$L$5:$L$1004)+SUMIF($A$5:$A$1004,A562,$P$5:$P$1004)&gt;100000),"B2CL","B2CS")))</f>
        <v/>
      </c>
      <c r="V562" s="17" t="str">
        <f aca="false">IF(A562="","",TEXT(B562,"mmm-yyyy"))</f>
        <v/>
      </c>
    </row>
    <row r="563" customFormat="false" ht="15" hidden="false" customHeight="true" outlineLevel="0" collapsed="false">
      <c r="A563" s="24"/>
      <c r="B563" s="39"/>
      <c r="C563" s="24"/>
      <c r="D563" s="24"/>
      <c r="E563" s="40"/>
      <c r="F563" s="29"/>
      <c r="G563" s="30"/>
      <c r="H563" s="17" t="str">
        <f aca="false">IF(A563="","",A563&amp;"|"&amp;COUNTIF(A$5:A563,A563))</f>
        <v/>
      </c>
      <c r="I563" s="33" t="str">
        <f aca="false">IF(A563="","",IFERROR(INDEX(Items!$B$5:$B$304,MATCH(D563,Items!$A$5:$A$304,0))&amp;"",""))</f>
        <v/>
      </c>
      <c r="J563" s="34" t="str">
        <f aca="false">IF(A563="","",IFERROR(INDEX(Items!$C$5:$C$304,MATCH(D563,Items!$A$5:$A$304,0))&amp;"",""))</f>
        <v/>
      </c>
      <c r="K563" s="35" t="n">
        <f aca="false">IF(A563="",0,IF(ISNUMBER(F563),F563,IFERROR(INDEX(Items!$D$5:$D$304,MATCH(D563,Items!$A$5:$A$304,0)),0)))</f>
        <v>0</v>
      </c>
      <c r="L563" s="35" t="n">
        <f aca="false">ROUND(N(E563)*K563*(1-N(G563)),2)</f>
        <v>0</v>
      </c>
      <c r="M563" s="36" t="n">
        <f aca="false">IF(A563="",0,IFERROR(INDEX(Items!$E$5:$E$304,MATCH(D563,Items!$A$5:$A$304,0)),0))</f>
        <v>0</v>
      </c>
      <c r="N563" s="37" t="str">
        <f aca="false">IF(A563="","",IFERROR(INDEX(Customers!$E$5:$E$204,MATCH(C563,Customers!$A$5:$A$204,0)),"?"))</f>
        <v/>
      </c>
      <c r="O563" s="38" t="str">
        <f aca="false">IF(A563="","",IF(N563=Settings!$B$17,"No","Yes"))</f>
        <v/>
      </c>
      <c r="P563" s="35" t="n">
        <f aca="false">IF(O563="Yes",ROUND(L563*M563,2),0)</f>
        <v>0</v>
      </c>
      <c r="Q563" s="35" t="n">
        <f aca="false">IF(O563="No",ROUND(L563*M563/2,2),0)</f>
        <v>0</v>
      </c>
      <c r="R563" s="35" t="n">
        <f aca="false">Q563</f>
        <v>0</v>
      </c>
      <c r="S563" s="35" t="n">
        <f aca="false">L563+P563+Q563+R563</f>
        <v>0</v>
      </c>
      <c r="T563" s="34" t="str">
        <f aca="false">IF(A563="","",IFERROR(INDEX(Customers!$B$5:$B$204,MATCH(C563,Customers!$A$5:$A$204,0))&amp;"",""))</f>
        <v/>
      </c>
      <c r="U563" s="38" t="str">
        <f aca="false">IF(A563="","",IF(T563&lt;&gt;"","B2B",IF(AND(O563="Yes",SUMIF($A$5:$A$1004,A563,$L$5:$L$1004)+SUMIF($A$5:$A$1004,A563,$P$5:$P$1004)&gt;100000),"B2CL","B2CS")))</f>
        <v/>
      </c>
      <c r="V563" s="17" t="str">
        <f aca="false">IF(A563="","",TEXT(B563,"mmm-yyyy"))</f>
        <v/>
      </c>
    </row>
    <row r="564" customFormat="false" ht="15" hidden="false" customHeight="true" outlineLevel="0" collapsed="false">
      <c r="A564" s="24"/>
      <c r="B564" s="39"/>
      <c r="C564" s="24"/>
      <c r="D564" s="24"/>
      <c r="E564" s="40"/>
      <c r="F564" s="29"/>
      <c r="G564" s="30"/>
      <c r="H564" s="17" t="str">
        <f aca="false">IF(A564="","",A564&amp;"|"&amp;COUNTIF(A$5:A564,A564))</f>
        <v/>
      </c>
      <c r="I564" s="33" t="str">
        <f aca="false">IF(A564="","",IFERROR(INDEX(Items!$B$5:$B$304,MATCH(D564,Items!$A$5:$A$304,0))&amp;"",""))</f>
        <v/>
      </c>
      <c r="J564" s="34" t="str">
        <f aca="false">IF(A564="","",IFERROR(INDEX(Items!$C$5:$C$304,MATCH(D564,Items!$A$5:$A$304,0))&amp;"",""))</f>
        <v/>
      </c>
      <c r="K564" s="35" t="n">
        <f aca="false">IF(A564="",0,IF(ISNUMBER(F564),F564,IFERROR(INDEX(Items!$D$5:$D$304,MATCH(D564,Items!$A$5:$A$304,0)),0)))</f>
        <v>0</v>
      </c>
      <c r="L564" s="35" t="n">
        <f aca="false">ROUND(N(E564)*K564*(1-N(G564)),2)</f>
        <v>0</v>
      </c>
      <c r="M564" s="36" t="n">
        <f aca="false">IF(A564="",0,IFERROR(INDEX(Items!$E$5:$E$304,MATCH(D564,Items!$A$5:$A$304,0)),0))</f>
        <v>0</v>
      </c>
      <c r="N564" s="37" t="str">
        <f aca="false">IF(A564="","",IFERROR(INDEX(Customers!$E$5:$E$204,MATCH(C564,Customers!$A$5:$A$204,0)),"?"))</f>
        <v/>
      </c>
      <c r="O564" s="38" t="str">
        <f aca="false">IF(A564="","",IF(N564=Settings!$B$17,"No","Yes"))</f>
        <v/>
      </c>
      <c r="P564" s="35" t="n">
        <f aca="false">IF(O564="Yes",ROUND(L564*M564,2),0)</f>
        <v>0</v>
      </c>
      <c r="Q564" s="35" t="n">
        <f aca="false">IF(O564="No",ROUND(L564*M564/2,2),0)</f>
        <v>0</v>
      </c>
      <c r="R564" s="35" t="n">
        <f aca="false">Q564</f>
        <v>0</v>
      </c>
      <c r="S564" s="35" t="n">
        <f aca="false">L564+P564+Q564+R564</f>
        <v>0</v>
      </c>
      <c r="T564" s="34" t="str">
        <f aca="false">IF(A564="","",IFERROR(INDEX(Customers!$B$5:$B$204,MATCH(C564,Customers!$A$5:$A$204,0))&amp;"",""))</f>
        <v/>
      </c>
      <c r="U564" s="38" t="str">
        <f aca="false">IF(A564="","",IF(T564&lt;&gt;"","B2B",IF(AND(O564="Yes",SUMIF($A$5:$A$1004,A564,$L$5:$L$1004)+SUMIF($A$5:$A$1004,A564,$P$5:$P$1004)&gt;100000),"B2CL","B2CS")))</f>
        <v/>
      </c>
      <c r="V564" s="17" t="str">
        <f aca="false">IF(A564="","",TEXT(B564,"mmm-yyyy"))</f>
        <v/>
      </c>
    </row>
    <row r="565" customFormat="false" ht="15" hidden="false" customHeight="true" outlineLevel="0" collapsed="false">
      <c r="A565" s="24"/>
      <c r="B565" s="39"/>
      <c r="C565" s="24"/>
      <c r="D565" s="24"/>
      <c r="E565" s="40"/>
      <c r="F565" s="29"/>
      <c r="G565" s="30"/>
      <c r="H565" s="17" t="str">
        <f aca="false">IF(A565="","",A565&amp;"|"&amp;COUNTIF(A$5:A565,A565))</f>
        <v/>
      </c>
      <c r="I565" s="33" t="str">
        <f aca="false">IF(A565="","",IFERROR(INDEX(Items!$B$5:$B$304,MATCH(D565,Items!$A$5:$A$304,0))&amp;"",""))</f>
        <v/>
      </c>
      <c r="J565" s="34" t="str">
        <f aca="false">IF(A565="","",IFERROR(INDEX(Items!$C$5:$C$304,MATCH(D565,Items!$A$5:$A$304,0))&amp;"",""))</f>
        <v/>
      </c>
      <c r="K565" s="35" t="n">
        <f aca="false">IF(A565="",0,IF(ISNUMBER(F565),F565,IFERROR(INDEX(Items!$D$5:$D$304,MATCH(D565,Items!$A$5:$A$304,0)),0)))</f>
        <v>0</v>
      </c>
      <c r="L565" s="35" t="n">
        <f aca="false">ROUND(N(E565)*K565*(1-N(G565)),2)</f>
        <v>0</v>
      </c>
      <c r="M565" s="36" t="n">
        <f aca="false">IF(A565="",0,IFERROR(INDEX(Items!$E$5:$E$304,MATCH(D565,Items!$A$5:$A$304,0)),0))</f>
        <v>0</v>
      </c>
      <c r="N565" s="37" t="str">
        <f aca="false">IF(A565="","",IFERROR(INDEX(Customers!$E$5:$E$204,MATCH(C565,Customers!$A$5:$A$204,0)),"?"))</f>
        <v/>
      </c>
      <c r="O565" s="38" t="str">
        <f aca="false">IF(A565="","",IF(N565=Settings!$B$17,"No","Yes"))</f>
        <v/>
      </c>
      <c r="P565" s="35" t="n">
        <f aca="false">IF(O565="Yes",ROUND(L565*M565,2),0)</f>
        <v>0</v>
      </c>
      <c r="Q565" s="35" t="n">
        <f aca="false">IF(O565="No",ROUND(L565*M565/2,2),0)</f>
        <v>0</v>
      </c>
      <c r="R565" s="35" t="n">
        <f aca="false">Q565</f>
        <v>0</v>
      </c>
      <c r="S565" s="35" t="n">
        <f aca="false">L565+P565+Q565+R565</f>
        <v>0</v>
      </c>
      <c r="T565" s="34" t="str">
        <f aca="false">IF(A565="","",IFERROR(INDEX(Customers!$B$5:$B$204,MATCH(C565,Customers!$A$5:$A$204,0))&amp;"",""))</f>
        <v/>
      </c>
      <c r="U565" s="38" t="str">
        <f aca="false">IF(A565="","",IF(T565&lt;&gt;"","B2B",IF(AND(O565="Yes",SUMIF($A$5:$A$1004,A565,$L$5:$L$1004)+SUMIF($A$5:$A$1004,A565,$P$5:$P$1004)&gt;100000),"B2CL","B2CS")))</f>
        <v/>
      </c>
      <c r="V565" s="17" t="str">
        <f aca="false">IF(A565="","",TEXT(B565,"mmm-yyyy"))</f>
        <v/>
      </c>
    </row>
    <row r="566" customFormat="false" ht="15" hidden="false" customHeight="true" outlineLevel="0" collapsed="false">
      <c r="A566" s="24"/>
      <c r="B566" s="39"/>
      <c r="C566" s="24"/>
      <c r="D566" s="24"/>
      <c r="E566" s="40"/>
      <c r="F566" s="29"/>
      <c r="G566" s="30"/>
      <c r="H566" s="17" t="str">
        <f aca="false">IF(A566="","",A566&amp;"|"&amp;COUNTIF(A$5:A566,A566))</f>
        <v/>
      </c>
      <c r="I566" s="33" t="str">
        <f aca="false">IF(A566="","",IFERROR(INDEX(Items!$B$5:$B$304,MATCH(D566,Items!$A$5:$A$304,0))&amp;"",""))</f>
        <v/>
      </c>
      <c r="J566" s="34" t="str">
        <f aca="false">IF(A566="","",IFERROR(INDEX(Items!$C$5:$C$304,MATCH(D566,Items!$A$5:$A$304,0))&amp;"",""))</f>
        <v/>
      </c>
      <c r="K566" s="35" t="n">
        <f aca="false">IF(A566="",0,IF(ISNUMBER(F566),F566,IFERROR(INDEX(Items!$D$5:$D$304,MATCH(D566,Items!$A$5:$A$304,0)),0)))</f>
        <v>0</v>
      </c>
      <c r="L566" s="35" t="n">
        <f aca="false">ROUND(N(E566)*K566*(1-N(G566)),2)</f>
        <v>0</v>
      </c>
      <c r="M566" s="36" t="n">
        <f aca="false">IF(A566="",0,IFERROR(INDEX(Items!$E$5:$E$304,MATCH(D566,Items!$A$5:$A$304,0)),0))</f>
        <v>0</v>
      </c>
      <c r="N566" s="37" t="str">
        <f aca="false">IF(A566="","",IFERROR(INDEX(Customers!$E$5:$E$204,MATCH(C566,Customers!$A$5:$A$204,0)),"?"))</f>
        <v/>
      </c>
      <c r="O566" s="38" t="str">
        <f aca="false">IF(A566="","",IF(N566=Settings!$B$17,"No","Yes"))</f>
        <v/>
      </c>
      <c r="P566" s="35" t="n">
        <f aca="false">IF(O566="Yes",ROUND(L566*M566,2),0)</f>
        <v>0</v>
      </c>
      <c r="Q566" s="35" t="n">
        <f aca="false">IF(O566="No",ROUND(L566*M566/2,2),0)</f>
        <v>0</v>
      </c>
      <c r="R566" s="35" t="n">
        <f aca="false">Q566</f>
        <v>0</v>
      </c>
      <c r="S566" s="35" t="n">
        <f aca="false">L566+P566+Q566+R566</f>
        <v>0</v>
      </c>
      <c r="T566" s="34" t="str">
        <f aca="false">IF(A566="","",IFERROR(INDEX(Customers!$B$5:$B$204,MATCH(C566,Customers!$A$5:$A$204,0))&amp;"",""))</f>
        <v/>
      </c>
      <c r="U566" s="38" t="str">
        <f aca="false">IF(A566="","",IF(T566&lt;&gt;"","B2B",IF(AND(O566="Yes",SUMIF($A$5:$A$1004,A566,$L$5:$L$1004)+SUMIF($A$5:$A$1004,A566,$P$5:$P$1004)&gt;100000),"B2CL","B2CS")))</f>
        <v/>
      </c>
      <c r="V566" s="17" t="str">
        <f aca="false">IF(A566="","",TEXT(B566,"mmm-yyyy"))</f>
        <v/>
      </c>
    </row>
    <row r="567" customFormat="false" ht="15" hidden="false" customHeight="true" outlineLevel="0" collapsed="false">
      <c r="A567" s="24"/>
      <c r="B567" s="39"/>
      <c r="C567" s="24"/>
      <c r="D567" s="24"/>
      <c r="E567" s="40"/>
      <c r="F567" s="29"/>
      <c r="G567" s="30"/>
      <c r="H567" s="17" t="str">
        <f aca="false">IF(A567="","",A567&amp;"|"&amp;COUNTIF(A$5:A567,A567))</f>
        <v/>
      </c>
      <c r="I567" s="33" t="str">
        <f aca="false">IF(A567="","",IFERROR(INDEX(Items!$B$5:$B$304,MATCH(D567,Items!$A$5:$A$304,0))&amp;"",""))</f>
        <v/>
      </c>
      <c r="J567" s="34" t="str">
        <f aca="false">IF(A567="","",IFERROR(INDEX(Items!$C$5:$C$304,MATCH(D567,Items!$A$5:$A$304,0))&amp;"",""))</f>
        <v/>
      </c>
      <c r="K567" s="35" t="n">
        <f aca="false">IF(A567="",0,IF(ISNUMBER(F567),F567,IFERROR(INDEX(Items!$D$5:$D$304,MATCH(D567,Items!$A$5:$A$304,0)),0)))</f>
        <v>0</v>
      </c>
      <c r="L567" s="35" t="n">
        <f aca="false">ROUND(N(E567)*K567*(1-N(G567)),2)</f>
        <v>0</v>
      </c>
      <c r="M567" s="36" t="n">
        <f aca="false">IF(A567="",0,IFERROR(INDEX(Items!$E$5:$E$304,MATCH(D567,Items!$A$5:$A$304,0)),0))</f>
        <v>0</v>
      </c>
      <c r="N567" s="37" t="str">
        <f aca="false">IF(A567="","",IFERROR(INDEX(Customers!$E$5:$E$204,MATCH(C567,Customers!$A$5:$A$204,0)),"?"))</f>
        <v/>
      </c>
      <c r="O567" s="38" t="str">
        <f aca="false">IF(A567="","",IF(N567=Settings!$B$17,"No","Yes"))</f>
        <v/>
      </c>
      <c r="P567" s="35" t="n">
        <f aca="false">IF(O567="Yes",ROUND(L567*M567,2),0)</f>
        <v>0</v>
      </c>
      <c r="Q567" s="35" t="n">
        <f aca="false">IF(O567="No",ROUND(L567*M567/2,2),0)</f>
        <v>0</v>
      </c>
      <c r="R567" s="35" t="n">
        <f aca="false">Q567</f>
        <v>0</v>
      </c>
      <c r="S567" s="35" t="n">
        <f aca="false">L567+P567+Q567+R567</f>
        <v>0</v>
      </c>
      <c r="T567" s="34" t="str">
        <f aca="false">IF(A567="","",IFERROR(INDEX(Customers!$B$5:$B$204,MATCH(C567,Customers!$A$5:$A$204,0))&amp;"",""))</f>
        <v/>
      </c>
      <c r="U567" s="38" t="str">
        <f aca="false">IF(A567="","",IF(T567&lt;&gt;"","B2B",IF(AND(O567="Yes",SUMIF($A$5:$A$1004,A567,$L$5:$L$1004)+SUMIF($A$5:$A$1004,A567,$P$5:$P$1004)&gt;100000),"B2CL","B2CS")))</f>
        <v/>
      </c>
      <c r="V567" s="17" t="str">
        <f aca="false">IF(A567="","",TEXT(B567,"mmm-yyyy"))</f>
        <v/>
      </c>
    </row>
    <row r="568" customFormat="false" ht="15" hidden="false" customHeight="true" outlineLevel="0" collapsed="false">
      <c r="A568" s="24"/>
      <c r="B568" s="39"/>
      <c r="C568" s="24"/>
      <c r="D568" s="24"/>
      <c r="E568" s="40"/>
      <c r="F568" s="29"/>
      <c r="G568" s="30"/>
      <c r="H568" s="17" t="str">
        <f aca="false">IF(A568="","",A568&amp;"|"&amp;COUNTIF(A$5:A568,A568))</f>
        <v/>
      </c>
      <c r="I568" s="33" t="str">
        <f aca="false">IF(A568="","",IFERROR(INDEX(Items!$B$5:$B$304,MATCH(D568,Items!$A$5:$A$304,0))&amp;"",""))</f>
        <v/>
      </c>
      <c r="J568" s="34" t="str">
        <f aca="false">IF(A568="","",IFERROR(INDEX(Items!$C$5:$C$304,MATCH(D568,Items!$A$5:$A$304,0))&amp;"",""))</f>
        <v/>
      </c>
      <c r="K568" s="35" t="n">
        <f aca="false">IF(A568="",0,IF(ISNUMBER(F568),F568,IFERROR(INDEX(Items!$D$5:$D$304,MATCH(D568,Items!$A$5:$A$304,0)),0)))</f>
        <v>0</v>
      </c>
      <c r="L568" s="35" t="n">
        <f aca="false">ROUND(N(E568)*K568*(1-N(G568)),2)</f>
        <v>0</v>
      </c>
      <c r="M568" s="36" t="n">
        <f aca="false">IF(A568="",0,IFERROR(INDEX(Items!$E$5:$E$304,MATCH(D568,Items!$A$5:$A$304,0)),0))</f>
        <v>0</v>
      </c>
      <c r="N568" s="37" t="str">
        <f aca="false">IF(A568="","",IFERROR(INDEX(Customers!$E$5:$E$204,MATCH(C568,Customers!$A$5:$A$204,0)),"?"))</f>
        <v/>
      </c>
      <c r="O568" s="38" t="str">
        <f aca="false">IF(A568="","",IF(N568=Settings!$B$17,"No","Yes"))</f>
        <v/>
      </c>
      <c r="P568" s="35" t="n">
        <f aca="false">IF(O568="Yes",ROUND(L568*M568,2),0)</f>
        <v>0</v>
      </c>
      <c r="Q568" s="35" t="n">
        <f aca="false">IF(O568="No",ROUND(L568*M568/2,2),0)</f>
        <v>0</v>
      </c>
      <c r="R568" s="35" t="n">
        <f aca="false">Q568</f>
        <v>0</v>
      </c>
      <c r="S568" s="35" t="n">
        <f aca="false">L568+P568+Q568+R568</f>
        <v>0</v>
      </c>
      <c r="T568" s="34" t="str">
        <f aca="false">IF(A568="","",IFERROR(INDEX(Customers!$B$5:$B$204,MATCH(C568,Customers!$A$5:$A$204,0))&amp;"",""))</f>
        <v/>
      </c>
      <c r="U568" s="38" t="str">
        <f aca="false">IF(A568="","",IF(T568&lt;&gt;"","B2B",IF(AND(O568="Yes",SUMIF($A$5:$A$1004,A568,$L$5:$L$1004)+SUMIF($A$5:$A$1004,A568,$P$5:$P$1004)&gt;100000),"B2CL","B2CS")))</f>
        <v/>
      </c>
      <c r="V568" s="17" t="str">
        <f aca="false">IF(A568="","",TEXT(B568,"mmm-yyyy"))</f>
        <v/>
      </c>
    </row>
    <row r="569" customFormat="false" ht="15" hidden="false" customHeight="true" outlineLevel="0" collapsed="false">
      <c r="A569" s="24"/>
      <c r="B569" s="39"/>
      <c r="C569" s="24"/>
      <c r="D569" s="24"/>
      <c r="E569" s="40"/>
      <c r="F569" s="29"/>
      <c r="G569" s="30"/>
      <c r="H569" s="17" t="str">
        <f aca="false">IF(A569="","",A569&amp;"|"&amp;COUNTIF(A$5:A569,A569))</f>
        <v/>
      </c>
      <c r="I569" s="33" t="str">
        <f aca="false">IF(A569="","",IFERROR(INDEX(Items!$B$5:$B$304,MATCH(D569,Items!$A$5:$A$304,0))&amp;"",""))</f>
        <v/>
      </c>
      <c r="J569" s="34" t="str">
        <f aca="false">IF(A569="","",IFERROR(INDEX(Items!$C$5:$C$304,MATCH(D569,Items!$A$5:$A$304,0))&amp;"",""))</f>
        <v/>
      </c>
      <c r="K569" s="35" t="n">
        <f aca="false">IF(A569="",0,IF(ISNUMBER(F569),F569,IFERROR(INDEX(Items!$D$5:$D$304,MATCH(D569,Items!$A$5:$A$304,0)),0)))</f>
        <v>0</v>
      </c>
      <c r="L569" s="35" t="n">
        <f aca="false">ROUND(N(E569)*K569*(1-N(G569)),2)</f>
        <v>0</v>
      </c>
      <c r="M569" s="36" t="n">
        <f aca="false">IF(A569="",0,IFERROR(INDEX(Items!$E$5:$E$304,MATCH(D569,Items!$A$5:$A$304,0)),0))</f>
        <v>0</v>
      </c>
      <c r="N569" s="37" t="str">
        <f aca="false">IF(A569="","",IFERROR(INDEX(Customers!$E$5:$E$204,MATCH(C569,Customers!$A$5:$A$204,0)),"?"))</f>
        <v/>
      </c>
      <c r="O569" s="38" t="str">
        <f aca="false">IF(A569="","",IF(N569=Settings!$B$17,"No","Yes"))</f>
        <v/>
      </c>
      <c r="P569" s="35" t="n">
        <f aca="false">IF(O569="Yes",ROUND(L569*M569,2),0)</f>
        <v>0</v>
      </c>
      <c r="Q569" s="35" t="n">
        <f aca="false">IF(O569="No",ROUND(L569*M569/2,2),0)</f>
        <v>0</v>
      </c>
      <c r="R569" s="35" t="n">
        <f aca="false">Q569</f>
        <v>0</v>
      </c>
      <c r="S569" s="35" t="n">
        <f aca="false">L569+P569+Q569+R569</f>
        <v>0</v>
      </c>
      <c r="T569" s="34" t="str">
        <f aca="false">IF(A569="","",IFERROR(INDEX(Customers!$B$5:$B$204,MATCH(C569,Customers!$A$5:$A$204,0))&amp;"",""))</f>
        <v/>
      </c>
      <c r="U569" s="38" t="str">
        <f aca="false">IF(A569="","",IF(T569&lt;&gt;"","B2B",IF(AND(O569="Yes",SUMIF($A$5:$A$1004,A569,$L$5:$L$1004)+SUMIF($A$5:$A$1004,A569,$P$5:$P$1004)&gt;100000),"B2CL","B2CS")))</f>
        <v/>
      </c>
      <c r="V569" s="17" t="str">
        <f aca="false">IF(A569="","",TEXT(B569,"mmm-yyyy"))</f>
        <v/>
      </c>
    </row>
    <row r="570" customFormat="false" ht="15" hidden="false" customHeight="true" outlineLevel="0" collapsed="false">
      <c r="A570" s="24"/>
      <c r="B570" s="39"/>
      <c r="C570" s="24"/>
      <c r="D570" s="24"/>
      <c r="E570" s="40"/>
      <c r="F570" s="29"/>
      <c r="G570" s="30"/>
      <c r="H570" s="17" t="str">
        <f aca="false">IF(A570="","",A570&amp;"|"&amp;COUNTIF(A$5:A570,A570))</f>
        <v/>
      </c>
      <c r="I570" s="33" t="str">
        <f aca="false">IF(A570="","",IFERROR(INDEX(Items!$B$5:$B$304,MATCH(D570,Items!$A$5:$A$304,0))&amp;"",""))</f>
        <v/>
      </c>
      <c r="J570" s="34" t="str">
        <f aca="false">IF(A570="","",IFERROR(INDEX(Items!$C$5:$C$304,MATCH(D570,Items!$A$5:$A$304,0))&amp;"",""))</f>
        <v/>
      </c>
      <c r="K570" s="35" t="n">
        <f aca="false">IF(A570="",0,IF(ISNUMBER(F570),F570,IFERROR(INDEX(Items!$D$5:$D$304,MATCH(D570,Items!$A$5:$A$304,0)),0)))</f>
        <v>0</v>
      </c>
      <c r="L570" s="35" t="n">
        <f aca="false">ROUND(N(E570)*K570*(1-N(G570)),2)</f>
        <v>0</v>
      </c>
      <c r="M570" s="36" t="n">
        <f aca="false">IF(A570="",0,IFERROR(INDEX(Items!$E$5:$E$304,MATCH(D570,Items!$A$5:$A$304,0)),0))</f>
        <v>0</v>
      </c>
      <c r="N570" s="37" t="str">
        <f aca="false">IF(A570="","",IFERROR(INDEX(Customers!$E$5:$E$204,MATCH(C570,Customers!$A$5:$A$204,0)),"?"))</f>
        <v/>
      </c>
      <c r="O570" s="38" t="str">
        <f aca="false">IF(A570="","",IF(N570=Settings!$B$17,"No","Yes"))</f>
        <v/>
      </c>
      <c r="P570" s="35" t="n">
        <f aca="false">IF(O570="Yes",ROUND(L570*M570,2),0)</f>
        <v>0</v>
      </c>
      <c r="Q570" s="35" t="n">
        <f aca="false">IF(O570="No",ROUND(L570*M570/2,2),0)</f>
        <v>0</v>
      </c>
      <c r="R570" s="35" t="n">
        <f aca="false">Q570</f>
        <v>0</v>
      </c>
      <c r="S570" s="35" t="n">
        <f aca="false">L570+P570+Q570+R570</f>
        <v>0</v>
      </c>
      <c r="T570" s="34" t="str">
        <f aca="false">IF(A570="","",IFERROR(INDEX(Customers!$B$5:$B$204,MATCH(C570,Customers!$A$5:$A$204,0))&amp;"",""))</f>
        <v/>
      </c>
      <c r="U570" s="38" t="str">
        <f aca="false">IF(A570="","",IF(T570&lt;&gt;"","B2B",IF(AND(O570="Yes",SUMIF($A$5:$A$1004,A570,$L$5:$L$1004)+SUMIF($A$5:$A$1004,A570,$P$5:$P$1004)&gt;100000),"B2CL","B2CS")))</f>
        <v/>
      </c>
      <c r="V570" s="17" t="str">
        <f aca="false">IF(A570="","",TEXT(B570,"mmm-yyyy"))</f>
        <v/>
      </c>
    </row>
    <row r="571" customFormat="false" ht="15" hidden="false" customHeight="true" outlineLevel="0" collapsed="false">
      <c r="A571" s="24"/>
      <c r="B571" s="39"/>
      <c r="C571" s="24"/>
      <c r="D571" s="24"/>
      <c r="E571" s="40"/>
      <c r="F571" s="29"/>
      <c r="G571" s="30"/>
      <c r="H571" s="17" t="str">
        <f aca="false">IF(A571="","",A571&amp;"|"&amp;COUNTIF(A$5:A571,A571))</f>
        <v/>
      </c>
      <c r="I571" s="33" t="str">
        <f aca="false">IF(A571="","",IFERROR(INDEX(Items!$B$5:$B$304,MATCH(D571,Items!$A$5:$A$304,0))&amp;"",""))</f>
        <v/>
      </c>
      <c r="J571" s="34" t="str">
        <f aca="false">IF(A571="","",IFERROR(INDEX(Items!$C$5:$C$304,MATCH(D571,Items!$A$5:$A$304,0))&amp;"",""))</f>
        <v/>
      </c>
      <c r="K571" s="35" t="n">
        <f aca="false">IF(A571="",0,IF(ISNUMBER(F571),F571,IFERROR(INDEX(Items!$D$5:$D$304,MATCH(D571,Items!$A$5:$A$304,0)),0)))</f>
        <v>0</v>
      </c>
      <c r="L571" s="35" t="n">
        <f aca="false">ROUND(N(E571)*K571*(1-N(G571)),2)</f>
        <v>0</v>
      </c>
      <c r="M571" s="36" t="n">
        <f aca="false">IF(A571="",0,IFERROR(INDEX(Items!$E$5:$E$304,MATCH(D571,Items!$A$5:$A$304,0)),0))</f>
        <v>0</v>
      </c>
      <c r="N571" s="37" t="str">
        <f aca="false">IF(A571="","",IFERROR(INDEX(Customers!$E$5:$E$204,MATCH(C571,Customers!$A$5:$A$204,0)),"?"))</f>
        <v/>
      </c>
      <c r="O571" s="38" t="str">
        <f aca="false">IF(A571="","",IF(N571=Settings!$B$17,"No","Yes"))</f>
        <v/>
      </c>
      <c r="P571" s="35" t="n">
        <f aca="false">IF(O571="Yes",ROUND(L571*M571,2),0)</f>
        <v>0</v>
      </c>
      <c r="Q571" s="35" t="n">
        <f aca="false">IF(O571="No",ROUND(L571*M571/2,2),0)</f>
        <v>0</v>
      </c>
      <c r="R571" s="35" t="n">
        <f aca="false">Q571</f>
        <v>0</v>
      </c>
      <c r="S571" s="35" t="n">
        <f aca="false">L571+P571+Q571+R571</f>
        <v>0</v>
      </c>
      <c r="T571" s="34" t="str">
        <f aca="false">IF(A571="","",IFERROR(INDEX(Customers!$B$5:$B$204,MATCH(C571,Customers!$A$5:$A$204,0))&amp;"",""))</f>
        <v/>
      </c>
      <c r="U571" s="38" t="str">
        <f aca="false">IF(A571="","",IF(T571&lt;&gt;"","B2B",IF(AND(O571="Yes",SUMIF($A$5:$A$1004,A571,$L$5:$L$1004)+SUMIF($A$5:$A$1004,A571,$P$5:$P$1004)&gt;100000),"B2CL","B2CS")))</f>
        <v/>
      </c>
      <c r="V571" s="17" t="str">
        <f aca="false">IF(A571="","",TEXT(B571,"mmm-yyyy"))</f>
        <v/>
      </c>
    </row>
    <row r="572" customFormat="false" ht="15" hidden="false" customHeight="true" outlineLevel="0" collapsed="false">
      <c r="A572" s="24"/>
      <c r="B572" s="39"/>
      <c r="C572" s="24"/>
      <c r="D572" s="24"/>
      <c r="E572" s="40"/>
      <c r="F572" s="29"/>
      <c r="G572" s="30"/>
      <c r="H572" s="17" t="str">
        <f aca="false">IF(A572="","",A572&amp;"|"&amp;COUNTIF(A$5:A572,A572))</f>
        <v/>
      </c>
      <c r="I572" s="33" t="str">
        <f aca="false">IF(A572="","",IFERROR(INDEX(Items!$B$5:$B$304,MATCH(D572,Items!$A$5:$A$304,0))&amp;"",""))</f>
        <v/>
      </c>
      <c r="J572" s="34" t="str">
        <f aca="false">IF(A572="","",IFERROR(INDEX(Items!$C$5:$C$304,MATCH(D572,Items!$A$5:$A$304,0))&amp;"",""))</f>
        <v/>
      </c>
      <c r="K572" s="35" t="n">
        <f aca="false">IF(A572="",0,IF(ISNUMBER(F572),F572,IFERROR(INDEX(Items!$D$5:$D$304,MATCH(D572,Items!$A$5:$A$304,0)),0)))</f>
        <v>0</v>
      </c>
      <c r="L572" s="35" t="n">
        <f aca="false">ROUND(N(E572)*K572*(1-N(G572)),2)</f>
        <v>0</v>
      </c>
      <c r="M572" s="36" t="n">
        <f aca="false">IF(A572="",0,IFERROR(INDEX(Items!$E$5:$E$304,MATCH(D572,Items!$A$5:$A$304,0)),0))</f>
        <v>0</v>
      </c>
      <c r="N572" s="37" t="str">
        <f aca="false">IF(A572="","",IFERROR(INDEX(Customers!$E$5:$E$204,MATCH(C572,Customers!$A$5:$A$204,0)),"?"))</f>
        <v/>
      </c>
      <c r="O572" s="38" t="str">
        <f aca="false">IF(A572="","",IF(N572=Settings!$B$17,"No","Yes"))</f>
        <v/>
      </c>
      <c r="P572" s="35" t="n">
        <f aca="false">IF(O572="Yes",ROUND(L572*M572,2),0)</f>
        <v>0</v>
      </c>
      <c r="Q572" s="35" t="n">
        <f aca="false">IF(O572="No",ROUND(L572*M572/2,2),0)</f>
        <v>0</v>
      </c>
      <c r="R572" s="35" t="n">
        <f aca="false">Q572</f>
        <v>0</v>
      </c>
      <c r="S572" s="35" t="n">
        <f aca="false">L572+P572+Q572+R572</f>
        <v>0</v>
      </c>
      <c r="T572" s="34" t="str">
        <f aca="false">IF(A572="","",IFERROR(INDEX(Customers!$B$5:$B$204,MATCH(C572,Customers!$A$5:$A$204,0))&amp;"",""))</f>
        <v/>
      </c>
      <c r="U572" s="38" t="str">
        <f aca="false">IF(A572="","",IF(T572&lt;&gt;"","B2B",IF(AND(O572="Yes",SUMIF($A$5:$A$1004,A572,$L$5:$L$1004)+SUMIF($A$5:$A$1004,A572,$P$5:$P$1004)&gt;100000),"B2CL","B2CS")))</f>
        <v/>
      </c>
      <c r="V572" s="17" t="str">
        <f aca="false">IF(A572="","",TEXT(B572,"mmm-yyyy"))</f>
        <v/>
      </c>
    </row>
    <row r="573" customFormat="false" ht="15" hidden="false" customHeight="true" outlineLevel="0" collapsed="false">
      <c r="A573" s="24"/>
      <c r="B573" s="39"/>
      <c r="C573" s="24"/>
      <c r="D573" s="24"/>
      <c r="E573" s="40"/>
      <c r="F573" s="29"/>
      <c r="G573" s="30"/>
      <c r="H573" s="17" t="str">
        <f aca="false">IF(A573="","",A573&amp;"|"&amp;COUNTIF(A$5:A573,A573))</f>
        <v/>
      </c>
      <c r="I573" s="33" t="str">
        <f aca="false">IF(A573="","",IFERROR(INDEX(Items!$B$5:$B$304,MATCH(D573,Items!$A$5:$A$304,0))&amp;"",""))</f>
        <v/>
      </c>
      <c r="J573" s="34" t="str">
        <f aca="false">IF(A573="","",IFERROR(INDEX(Items!$C$5:$C$304,MATCH(D573,Items!$A$5:$A$304,0))&amp;"",""))</f>
        <v/>
      </c>
      <c r="K573" s="35" t="n">
        <f aca="false">IF(A573="",0,IF(ISNUMBER(F573),F573,IFERROR(INDEX(Items!$D$5:$D$304,MATCH(D573,Items!$A$5:$A$304,0)),0)))</f>
        <v>0</v>
      </c>
      <c r="L573" s="35" t="n">
        <f aca="false">ROUND(N(E573)*K573*(1-N(G573)),2)</f>
        <v>0</v>
      </c>
      <c r="M573" s="36" t="n">
        <f aca="false">IF(A573="",0,IFERROR(INDEX(Items!$E$5:$E$304,MATCH(D573,Items!$A$5:$A$304,0)),0))</f>
        <v>0</v>
      </c>
      <c r="N573" s="37" t="str">
        <f aca="false">IF(A573="","",IFERROR(INDEX(Customers!$E$5:$E$204,MATCH(C573,Customers!$A$5:$A$204,0)),"?"))</f>
        <v/>
      </c>
      <c r="O573" s="38" t="str">
        <f aca="false">IF(A573="","",IF(N573=Settings!$B$17,"No","Yes"))</f>
        <v/>
      </c>
      <c r="P573" s="35" t="n">
        <f aca="false">IF(O573="Yes",ROUND(L573*M573,2),0)</f>
        <v>0</v>
      </c>
      <c r="Q573" s="35" t="n">
        <f aca="false">IF(O573="No",ROUND(L573*M573/2,2),0)</f>
        <v>0</v>
      </c>
      <c r="R573" s="35" t="n">
        <f aca="false">Q573</f>
        <v>0</v>
      </c>
      <c r="S573" s="35" t="n">
        <f aca="false">L573+P573+Q573+R573</f>
        <v>0</v>
      </c>
      <c r="T573" s="34" t="str">
        <f aca="false">IF(A573="","",IFERROR(INDEX(Customers!$B$5:$B$204,MATCH(C573,Customers!$A$5:$A$204,0))&amp;"",""))</f>
        <v/>
      </c>
      <c r="U573" s="38" t="str">
        <f aca="false">IF(A573="","",IF(T573&lt;&gt;"","B2B",IF(AND(O573="Yes",SUMIF($A$5:$A$1004,A573,$L$5:$L$1004)+SUMIF($A$5:$A$1004,A573,$P$5:$P$1004)&gt;100000),"B2CL","B2CS")))</f>
        <v/>
      </c>
      <c r="V573" s="17" t="str">
        <f aca="false">IF(A573="","",TEXT(B573,"mmm-yyyy"))</f>
        <v/>
      </c>
    </row>
    <row r="574" customFormat="false" ht="15" hidden="false" customHeight="true" outlineLevel="0" collapsed="false">
      <c r="A574" s="24"/>
      <c r="B574" s="39"/>
      <c r="C574" s="24"/>
      <c r="D574" s="24"/>
      <c r="E574" s="40"/>
      <c r="F574" s="29"/>
      <c r="G574" s="30"/>
      <c r="H574" s="17" t="str">
        <f aca="false">IF(A574="","",A574&amp;"|"&amp;COUNTIF(A$5:A574,A574))</f>
        <v/>
      </c>
      <c r="I574" s="33" t="str">
        <f aca="false">IF(A574="","",IFERROR(INDEX(Items!$B$5:$B$304,MATCH(D574,Items!$A$5:$A$304,0))&amp;"",""))</f>
        <v/>
      </c>
      <c r="J574" s="34" t="str">
        <f aca="false">IF(A574="","",IFERROR(INDEX(Items!$C$5:$C$304,MATCH(D574,Items!$A$5:$A$304,0))&amp;"",""))</f>
        <v/>
      </c>
      <c r="K574" s="35" t="n">
        <f aca="false">IF(A574="",0,IF(ISNUMBER(F574),F574,IFERROR(INDEX(Items!$D$5:$D$304,MATCH(D574,Items!$A$5:$A$304,0)),0)))</f>
        <v>0</v>
      </c>
      <c r="L574" s="35" t="n">
        <f aca="false">ROUND(N(E574)*K574*(1-N(G574)),2)</f>
        <v>0</v>
      </c>
      <c r="M574" s="36" t="n">
        <f aca="false">IF(A574="",0,IFERROR(INDEX(Items!$E$5:$E$304,MATCH(D574,Items!$A$5:$A$304,0)),0))</f>
        <v>0</v>
      </c>
      <c r="N574" s="37" t="str">
        <f aca="false">IF(A574="","",IFERROR(INDEX(Customers!$E$5:$E$204,MATCH(C574,Customers!$A$5:$A$204,0)),"?"))</f>
        <v/>
      </c>
      <c r="O574" s="38" t="str">
        <f aca="false">IF(A574="","",IF(N574=Settings!$B$17,"No","Yes"))</f>
        <v/>
      </c>
      <c r="P574" s="35" t="n">
        <f aca="false">IF(O574="Yes",ROUND(L574*M574,2),0)</f>
        <v>0</v>
      </c>
      <c r="Q574" s="35" t="n">
        <f aca="false">IF(O574="No",ROUND(L574*M574/2,2),0)</f>
        <v>0</v>
      </c>
      <c r="R574" s="35" t="n">
        <f aca="false">Q574</f>
        <v>0</v>
      </c>
      <c r="S574" s="35" t="n">
        <f aca="false">L574+P574+Q574+R574</f>
        <v>0</v>
      </c>
      <c r="T574" s="34" t="str">
        <f aca="false">IF(A574="","",IFERROR(INDEX(Customers!$B$5:$B$204,MATCH(C574,Customers!$A$5:$A$204,0))&amp;"",""))</f>
        <v/>
      </c>
      <c r="U574" s="38" t="str">
        <f aca="false">IF(A574="","",IF(T574&lt;&gt;"","B2B",IF(AND(O574="Yes",SUMIF($A$5:$A$1004,A574,$L$5:$L$1004)+SUMIF($A$5:$A$1004,A574,$P$5:$P$1004)&gt;100000),"B2CL","B2CS")))</f>
        <v/>
      </c>
      <c r="V574" s="17" t="str">
        <f aca="false">IF(A574="","",TEXT(B574,"mmm-yyyy"))</f>
        <v/>
      </c>
    </row>
    <row r="575" customFormat="false" ht="15" hidden="false" customHeight="true" outlineLevel="0" collapsed="false">
      <c r="A575" s="24"/>
      <c r="B575" s="39"/>
      <c r="C575" s="24"/>
      <c r="D575" s="24"/>
      <c r="E575" s="40"/>
      <c r="F575" s="29"/>
      <c r="G575" s="30"/>
      <c r="H575" s="17" t="str">
        <f aca="false">IF(A575="","",A575&amp;"|"&amp;COUNTIF(A$5:A575,A575))</f>
        <v/>
      </c>
      <c r="I575" s="33" t="str">
        <f aca="false">IF(A575="","",IFERROR(INDEX(Items!$B$5:$B$304,MATCH(D575,Items!$A$5:$A$304,0))&amp;"",""))</f>
        <v/>
      </c>
      <c r="J575" s="34" t="str">
        <f aca="false">IF(A575="","",IFERROR(INDEX(Items!$C$5:$C$304,MATCH(D575,Items!$A$5:$A$304,0))&amp;"",""))</f>
        <v/>
      </c>
      <c r="K575" s="35" t="n">
        <f aca="false">IF(A575="",0,IF(ISNUMBER(F575),F575,IFERROR(INDEX(Items!$D$5:$D$304,MATCH(D575,Items!$A$5:$A$304,0)),0)))</f>
        <v>0</v>
      </c>
      <c r="L575" s="35" t="n">
        <f aca="false">ROUND(N(E575)*K575*(1-N(G575)),2)</f>
        <v>0</v>
      </c>
      <c r="M575" s="36" t="n">
        <f aca="false">IF(A575="",0,IFERROR(INDEX(Items!$E$5:$E$304,MATCH(D575,Items!$A$5:$A$304,0)),0))</f>
        <v>0</v>
      </c>
      <c r="N575" s="37" t="str">
        <f aca="false">IF(A575="","",IFERROR(INDEX(Customers!$E$5:$E$204,MATCH(C575,Customers!$A$5:$A$204,0)),"?"))</f>
        <v/>
      </c>
      <c r="O575" s="38" t="str">
        <f aca="false">IF(A575="","",IF(N575=Settings!$B$17,"No","Yes"))</f>
        <v/>
      </c>
      <c r="P575" s="35" t="n">
        <f aca="false">IF(O575="Yes",ROUND(L575*M575,2),0)</f>
        <v>0</v>
      </c>
      <c r="Q575" s="35" t="n">
        <f aca="false">IF(O575="No",ROUND(L575*M575/2,2),0)</f>
        <v>0</v>
      </c>
      <c r="R575" s="35" t="n">
        <f aca="false">Q575</f>
        <v>0</v>
      </c>
      <c r="S575" s="35" t="n">
        <f aca="false">L575+P575+Q575+R575</f>
        <v>0</v>
      </c>
      <c r="T575" s="34" t="str">
        <f aca="false">IF(A575="","",IFERROR(INDEX(Customers!$B$5:$B$204,MATCH(C575,Customers!$A$5:$A$204,0))&amp;"",""))</f>
        <v/>
      </c>
      <c r="U575" s="38" t="str">
        <f aca="false">IF(A575="","",IF(T575&lt;&gt;"","B2B",IF(AND(O575="Yes",SUMIF($A$5:$A$1004,A575,$L$5:$L$1004)+SUMIF($A$5:$A$1004,A575,$P$5:$P$1004)&gt;100000),"B2CL","B2CS")))</f>
        <v/>
      </c>
      <c r="V575" s="17" t="str">
        <f aca="false">IF(A575="","",TEXT(B575,"mmm-yyyy"))</f>
        <v/>
      </c>
    </row>
    <row r="576" customFormat="false" ht="15" hidden="false" customHeight="true" outlineLevel="0" collapsed="false">
      <c r="A576" s="24"/>
      <c r="B576" s="39"/>
      <c r="C576" s="24"/>
      <c r="D576" s="24"/>
      <c r="E576" s="40"/>
      <c r="F576" s="29"/>
      <c r="G576" s="30"/>
      <c r="H576" s="17" t="str">
        <f aca="false">IF(A576="","",A576&amp;"|"&amp;COUNTIF(A$5:A576,A576))</f>
        <v/>
      </c>
      <c r="I576" s="33" t="str">
        <f aca="false">IF(A576="","",IFERROR(INDEX(Items!$B$5:$B$304,MATCH(D576,Items!$A$5:$A$304,0))&amp;"",""))</f>
        <v/>
      </c>
      <c r="J576" s="34" t="str">
        <f aca="false">IF(A576="","",IFERROR(INDEX(Items!$C$5:$C$304,MATCH(D576,Items!$A$5:$A$304,0))&amp;"",""))</f>
        <v/>
      </c>
      <c r="K576" s="35" t="n">
        <f aca="false">IF(A576="",0,IF(ISNUMBER(F576),F576,IFERROR(INDEX(Items!$D$5:$D$304,MATCH(D576,Items!$A$5:$A$304,0)),0)))</f>
        <v>0</v>
      </c>
      <c r="L576" s="35" t="n">
        <f aca="false">ROUND(N(E576)*K576*(1-N(G576)),2)</f>
        <v>0</v>
      </c>
      <c r="M576" s="36" t="n">
        <f aca="false">IF(A576="",0,IFERROR(INDEX(Items!$E$5:$E$304,MATCH(D576,Items!$A$5:$A$304,0)),0))</f>
        <v>0</v>
      </c>
      <c r="N576" s="37" t="str">
        <f aca="false">IF(A576="","",IFERROR(INDEX(Customers!$E$5:$E$204,MATCH(C576,Customers!$A$5:$A$204,0)),"?"))</f>
        <v/>
      </c>
      <c r="O576" s="38" t="str">
        <f aca="false">IF(A576="","",IF(N576=Settings!$B$17,"No","Yes"))</f>
        <v/>
      </c>
      <c r="P576" s="35" t="n">
        <f aca="false">IF(O576="Yes",ROUND(L576*M576,2),0)</f>
        <v>0</v>
      </c>
      <c r="Q576" s="35" t="n">
        <f aca="false">IF(O576="No",ROUND(L576*M576/2,2),0)</f>
        <v>0</v>
      </c>
      <c r="R576" s="35" t="n">
        <f aca="false">Q576</f>
        <v>0</v>
      </c>
      <c r="S576" s="35" t="n">
        <f aca="false">L576+P576+Q576+R576</f>
        <v>0</v>
      </c>
      <c r="T576" s="34" t="str">
        <f aca="false">IF(A576="","",IFERROR(INDEX(Customers!$B$5:$B$204,MATCH(C576,Customers!$A$5:$A$204,0))&amp;"",""))</f>
        <v/>
      </c>
      <c r="U576" s="38" t="str">
        <f aca="false">IF(A576="","",IF(T576&lt;&gt;"","B2B",IF(AND(O576="Yes",SUMIF($A$5:$A$1004,A576,$L$5:$L$1004)+SUMIF($A$5:$A$1004,A576,$P$5:$P$1004)&gt;100000),"B2CL","B2CS")))</f>
        <v/>
      </c>
      <c r="V576" s="17" t="str">
        <f aca="false">IF(A576="","",TEXT(B576,"mmm-yyyy"))</f>
        <v/>
      </c>
    </row>
    <row r="577" customFormat="false" ht="15" hidden="false" customHeight="true" outlineLevel="0" collapsed="false">
      <c r="A577" s="24"/>
      <c r="B577" s="39"/>
      <c r="C577" s="24"/>
      <c r="D577" s="24"/>
      <c r="E577" s="40"/>
      <c r="F577" s="29"/>
      <c r="G577" s="30"/>
      <c r="H577" s="17" t="str">
        <f aca="false">IF(A577="","",A577&amp;"|"&amp;COUNTIF(A$5:A577,A577))</f>
        <v/>
      </c>
      <c r="I577" s="33" t="str">
        <f aca="false">IF(A577="","",IFERROR(INDEX(Items!$B$5:$B$304,MATCH(D577,Items!$A$5:$A$304,0))&amp;"",""))</f>
        <v/>
      </c>
      <c r="J577" s="34" t="str">
        <f aca="false">IF(A577="","",IFERROR(INDEX(Items!$C$5:$C$304,MATCH(D577,Items!$A$5:$A$304,0))&amp;"",""))</f>
        <v/>
      </c>
      <c r="K577" s="35" t="n">
        <f aca="false">IF(A577="",0,IF(ISNUMBER(F577),F577,IFERROR(INDEX(Items!$D$5:$D$304,MATCH(D577,Items!$A$5:$A$304,0)),0)))</f>
        <v>0</v>
      </c>
      <c r="L577" s="35" t="n">
        <f aca="false">ROUND(N(E577)*K577*(1-N(G577)),2)</f>
        <v>0</v>
      </c>
      <c r="M577" s="36" t="n">
        <f aca="false">IF(A577="",0,IFERROR(INDEX(Items!$E$5:$E$304,MATCH(D577,Items!$A$5:$A$304,0)),0))</f>
        <v>0</v>
      </c>
      <c r="N577" s="37" t="str">
        <f aca="false">IF(A577="","",IFERROR(INDEX(Customers!$E$5:$E$204,MATCH(C577,Customers!$A$5:$A$204,0)),"?"))</f>
        <v/>
      </c>
      <c r="O577" s="38" t="str">
        <f aca="false">IF(A577="","",IF(N577=Settings!$B$17,"No","Yes"))</f>
        <v/>
      </c>
      <c r="P577" s="35" t="n">
        <f aca="false">IF(O577="Yes",ROUND(L577*M577,2),0)</f>
        <v>0</v>
      </c>
      <c r="Q577" s="35" t="n">
        <f aca="false">IF(O577="No",ROUND(L577*M577/2,2),0)</f>
        <v>0</v>
      </c>
      <c r="R577" s="35" t="n">
        <f aca="false">Q577</f>
        <v>0</v>
      </c>
      <c r="S577" s="35" t="n">
        <f aca="false">L577+P577+Q577+R577</f>
        <v>0</v>
      </c>
      <c r="T577" s="34" t="str">
        <f aca="false">IF(A577="","",IFERROR(INDEX(Customers!$B$5:$B$204,MATCH(C577,Customers!$A$5:$A$204,0))&amp;"",""))</f>
        <v/>
      </c>
      <c r="U577" s="38" t="str">
        <f aca="false">IF(A577="","",IF(T577&lt;&gt;"","B2B",IF(AND(O577="Yes",SUMIF($A$5:$A$1004,A577,$L$5:$L$1004)+SUMIF($A$5:$A$1004,A577,$P$5:$P$1004)&gt;100000),"B2CL","B2CS")))</f>
        <v/>
      </c>
      <c r="V577" s="17" t="str">
        <f aca="false">IF(A577="","",TEXT(B577,"mmm-yyyy"))</f>
        <v/>
      </c>
    </row>
    <row r="578" customFormat="false" ht="15" hidden="false" customHeight="true" outlineLevel="0" collapsed="false">
      <c r="A578" s="24"/>
      <c r="B578" s="39"/>
      <c r="C578" s="24"/>
      <c r="D578" s="24"/>
      <c r="E578" s="40"/>
      <c r="F578" s="29"/>
      <c r="G578" s="30"/>
      <c r="H578" s="17" t="str">
        <f aca="false">IF(A578="","",A578&amp;"|"&amp;COUNTIF(A$5:A578,A578))</f>
        <v/>
      </c>
      <c r="I578" s="33" t="str">
        <f aca="false">IF(A578="","",IFERROR(INDEX(Items!$B$5:$B$304,MATCH(D578,Items!$A$5:$A$304,0))&amp;"",""))</f>
        <v/>
      </c>
      <c r="J578" s="34" t="str">
        <f aca="false">IF(A578="","",IFERROR(INDEX(Items!$C$5:$C$304,MATCH(D578,Items!$A$5:$A$304,0))&amp;"",""))</f>
        <v/>
      </c>
      <c r="K578" s="35" t="n">
        <f aca="false">IF(A578="",0,IF(ISNUMBER(F578),F578,IFERROR(INDEX(Items!$D$5:$D$304,MATCH(D578,Items!$A$5:$A$304,0)),0)))</f>
        <v>0</v>
      </c>
      <c r="L578" s="35" t="n">
        <f aca="false">ROUND(N(E578)*K578*(1-N(G578)),2)</f>
        <v>0</v>
      </c>
      <c r="M578" s="36" t="n">
        <f aca="false">IF(A578="",0,IFERROR(INDEX(Items!$E$5:$E$304,MATCH(D578,Items!$A$5:$A$304,0)),0))</f>
        <v>0</v>
      </c>
      <c r="N578" s="37" t="str">
        <f aca="false">IF(A578="","",IFERROR(INDEX(Customers!$E$5:$E$204,MATCH(C578,Customers!$A$5:$A$204,0)),"?"))</f>
        <v/>
      </c>
      <c r="O578" s="38" t="str">
        <f aca="false">IF(A578="","",IF(N578=Settings!$B$17,"No","Yes"))</f>
        <v/>
      </c>
      <c r="P578" s="35" t="n">
        <f aca="false">IF(O578="Yes",ROUND(L578*M578,2),0)</f>
        <v>0</v>
      </c>
      <c r="Q578" s="35" t="n">
        <f aca="false">IF(O578="No",ROUND(L578*M578/2,2),0)</f>
        <v>0</v>
      </c>
      <c r="R578" s="35" t="n">
        <f aca="false">Q578</f>
        <v>0</v>
      </c>
      <c r="S578" s="35" t="n">
        <f aca="false">L578+P578+Q578+R578</f>
        <v>0</v>
      </c>
      <c r="T578" s="34" t="str">
        <f aca="false">IF(A578="","",IFERROR(INDEX(Customers!$B$5:$B$204,MATCH(C578,Customers!$A$5:$A$204,0))&amp;"",""))</f>
        <v/>
      </c>
      <c r="U578" s="38" t="str">
        <f aca="false">IF(A578="","",IF(T578&lt;&gt;"","B2B",IF(AND(O578="Yes",SUMIF($A$5:$A$1004,A578,$L$5:$L$1004)+SUMIF($A$5:$A$1004,A578,$P$5:$P$1004)&gt;100000),"B2CL","B2CS")))</f>
        <v/>
      </c>
      <c r="V578" s="17" t="str">
        <f aca="false">IF(A578="","",TEXT(B578,"mmm-yyyy"))</f>
        <v/>
      </c>
    </row>
    <row r="579" customFormat="false" ht="15" hidden="false" customHeight="true" outlineLevel="0" collapsed="false">
      <c r="A579" s="24"/>
      <c r="B579" s="39"/>
      <c r="C579" s="24"/>
      <c r="D579" s="24"/>
      <c r="E579" s="40"/>
      <c r="F579" s="29"/>
      <c r="G579" s="30"/>
      <c r="H579" s="17" t="str">
        <f aca="false">IF(A579="","",A579&amp;"|"&amp;COUNTIF(A$5:A579,A579))</f>
        <v/>
      </c>
      <c r="I579" s="33" t="str">
        <f aca="false">IF(A579="","",IFERROR(INDEX(Items!$B$5:$B$304,MATCH(D579,Items!$A$5:$A$304,0))&amp;"",""))</f>
        <v/>
      </c>
      <c r="J579" s="34" t="str">
        <f aca="false">IF(A579="","",IFERROR(INDEX(Items!$C$5:$C$304,MATCH(D579,Items!$A$5:$A$304,0))&amp;"",""))</f>
        <v/>
      </c>
      <c r="K579" s="35" t="n">
        <f aca="false">IF(A579="",0,IF(ISNUMBER(F579),F579,IFERROR(INDEX(Items!$D$5:$D$304,MATCH(D579,Items!$A$5:$A$304,0)),0)))</f>
        <v>0</v>
      </c>
      <c r="L579" s="35" t="n">
        <f aca="false">ROUND(N(E579)*K579*(1-N(G579)),2)</f>
        <v>0</v>
      </c>
      <c r="M579" s="36" t="n">
        <f aca="false">IF(A579="",0,IFERROR(INDEX(Items!$E$5:$E$304,MATCH(D579,Items!$A$5:$A$304,0)),0))</f>
        <v>0</v>
      </c>
      <c r="N579" s="37" t="str">
        <f aca="false">IF(A579="","",IFERROR(INDEX(Customers!$E$5:$E$204,MATCH(C579,Customers!$A$5:$A$204,0)),"?"))</f>
        <v/>
      </c>
      <c r="O579" s="38" t="str">
        <f aca="false">IF(A579="","",IF(N579=Settings!$B$17,"No","Yes"))</f>
        <v/>
      </c>
      <c r="P579" s="35" t="n">
        <f aca="false">IF(O579="Yes",ROUND(L579*M579,2),0)</f>
        <v>0</v>
      </c>
      <c r="Q579" s="35" t="n">
        <f aca="false">IF(O579="No",ROUND(L579*M579/2,2),0)</f>
        <v>0</v>
      </c>
      <c r="R579" s="35" t="n">
        <f aca="false">Q579</f>
        <v>0</v>
      </c>
      <c r="S579" s="35" t="n">
        <f aca="false">L579+P579+Q579+R579</f>
        <v>0</v>
      </c>
      <c r="T579" s="34" t="str">
        <f aca="false">IF(A579="","",IFERROR(INDEX(Customers!$B$5:$B$204,MATCH(C579,Customers!$A$5:$A$204,0))&amp;"",""))</f>
        <v/>
      </c>
      <c r="U579" s="38" t="str">
        <f aca="false">IF(A579="","",IF(T579&lt;&gt;"","B2B",IF(AND(O579="Yes",SUMIF($A$5:$A$1004,A579,$L$5:$L$1004)+SUMIF($A$5:$A$1004,A579,$P$5:$P$1004)&gt;100000),"B2CL","B2CS")))</f>
        <v/>
      </c>
      <c r="V579" s="17" t="str">
        <f aca="false">IF(A579="","",TEXT(B579,"mmm-yyyy"))</f>
        <v/>
      </c>
    </row>
    <row r="580" customFormat="false" ht="15" hidden="false" customHeight="true" outlineLevel="0" collapsed="false">
      <c r="A580" s="24"/>
      <c r="B580" s="39"/>
      <c r="C580" s="24"/>
      <c r="D580" s="24"/>
      <c r="E580" s="40"/>
      <c r="F580" s="29"/>
      <c r="G580" s="30"/>
      <c r="H580" s="17" t="str">
        <f aca="false">IF(A580="","",A580&amp;"|"&amp;COUNTIF(A$5:A580,A580))</f>
        <v/>
      </c>
      <c r="I580" s="33" t="str">
        <f aca="false">IF(A580="","",IFERROR(INDEX(Items!$B$5:$B$304,MATCH(D580,Items!$A$5:$A$304,0))&amp;"",""))</f>
        <v/>
      </c>
      <c r="J580" s="34" t="str">
        <f aca="false">IF(A580="","",IFERROR(INDEX(Items!$C$5:$C$304,MATCH(D580,Items!$A$5:$A$304,0))&amp;"",""))</f>
        <v/>
      </c>
      <c r="K580" s="35" t="n">
        <f aca="false">IF(A580="",0,IF(ISNUMBER(F580),F580,IFERROR(INDEX(Items!$D$5:$D$304,MATCH(D580,Items!$A$5:$A$304,0)),0)))</f>
        <v>0</v>
      </c>
      <c r="L580" s="35" t="n">
        <f aca="false">ROUND(N(E580)*K580*(1-N(G580)),2)</f>
        <v>0</v>
      </c>
      <c r="M580" s="36" t="n">
        <f aca="false">IF(A580="",0,IFERROR(INDEX(Items!$E$5:$E$304,MATCH(D580,Items!$A$5:$A$304,0)),0))</f>
        <v>0</v>
      </c>
      <c r="N580" s="37" t="str">
        <f aca="false">IF(A580="","",IFERROR(INDEX(Customers!$E$5:$E$204,MATCH(C580,Customers!$A$5:$A$204,0)),"?"))</f>
        <v/>
      </c>
      <c r="O580" s="38" t="str">
        <f aca="false">IF(A580="","",IF(N580=Settings!$B$17,"No","Yes"))</f>
        <v/>
      </c>
      <c r="P580" s="35" t="n">
        <f aca="false">IF(O580="Yes",ROUND(L580*M580,2),0)</f>
        <v>0</v>
      </c>
      <c r="Q580" s="35" t="n">
        <f aca="false">IF(O580="No",ROUND(L580*M580/2,2),0)</f>
        <v>0</v>
      </c>
      <c r="R580" s="35" t="n">
        <f aca="false">Q580</f>
        <v>0</v>
      </c>
      <c r="S580" s="35" t="n">
        <f aca="false">L580+P580+Q580+R580</f>
        <v>0</v>
      </c>
      <c r="T580" s="34" t="str">
        <f aca="false">IF(A580="","",IFERROR(INDEX(Customers!$B$5:$B$204,MATCH(C580,Customers!$A$5:$A$204,0))&amp;"",""))</f>
        <v/>
      </c>
      <c r="U580" s="38" t="str">
        <f aca="false">IF(A580="","",IF(T580&lt;&gt;"","B2B",IF(AND(O580="Yes",SUMIF($A$5:$A$1004,A580,$L$5:$L$1004)+SUMIF($A$5:$A$1004,A580,$P$5:$P$1004)&gt;100000),"B2CL","B2CS")))</f>
        <v/>
      </c>
      <c r="V580" s="17" t="str">
        <f aca="false">IF(A580="","",TEXT(B580,"mmm-yyyy"))</f>
        <v/>
      </c>
    </row>
    <row r="581" customFormat="false" ht="15" hidden="false" customHeight="true" outlineLevel="0" collapsed="false">
      <c r="A581" s="24"/>
      <c r="B581" s="39"/>
      <c r="C581" s="24"/>
      <c r="D581" s="24"/>
      <c r="E581" s="40"/>
      <c r="F581" s="29"/>
      <c r="G581" s="30"/>
      <c r="H581" s="17" t="str">
        <f aca="false">IF(A581="","",A581&amp;"|"&amp;COUNTIF(A$5:A581,A581))</f>
        <v/>
      </c>
      <c r="I581" s="33" t="str">
        <f aca="false">IF(A581="","",IFERROR(INDEX(Items!$B$5:$B$304,MATCH(D581,Items!$A$5:$A$304,0))&amp;"",""))</f>
        <v/>
      </c>
      <c r="J581" s="34" t="str">
        <f aca="false">IF(A581="","",IFERROR(INDEX(Items!$C$5:$C$304,MATCH(D581,Items!$A$5:$A$304,0))&amp;"",""))</f>
        <v/>
      </c>
      <c r="K581" s="35" t="n">
        <f aca="false">IF(A581="",0,IF(ISNUMBER(F581),F581,IFERROR(INDEX(Items!$D$5:$D$304,MATCH(D581,Items!$A$5:$A$304,0)),0)))</f>
        <v>0</v>
      </c>
      <c r="L581" s="35" t="n">
        <f aca="false">ROUND(N(E581)*K581*(1-N(G581)),2)</f>
        <v>0</v>
      </c>
      <c r="M581" s="36" t="n">
        <f aca="false">IF(A581="",0,IFERROR(INDEX(Items!$E$5:$E$304,MATCH(D581,Items!$A$5:$A$304,0)),0))</f>
        <v>0</v>
      </c>
      <c r="N581" s="37" t="str">
        <f aca="false">IF(A581="","",IFERROR(INDEX(Customers!$E$5:$E$204,MATCH(C581,Customers!$A$5:$A$204,0)),"?"))</f>
        <v/>
      </c>
      <c r="O581" s="38" t="str">
        <f aca="false">IF(A581="","",IF(N581=Settings!$B$17,"No","Yes"))</f>
        <v/>
      </c>
      <c r="P581" s="35" t="n">
        <f aca="false">IF(O581="Yes",ROUND(L581*M581,2),0)</f>
        <v>0</v>
      </c>
      <c r="Q581" s="35" t="n">
        <f aca="false">IF(O581="No",ROUND(L581*M581/2,2),0)</f>
        <v>0</v>
      </c>
      <c r="R581" s="35" t="n">
        <f aca="false">Q581</f>
        <v>0</v>
      </c>
      <c r="S581" s="35" t="n">
        <f aca="false">L581+P581+Q581+R581</f>
        <v>0</v>
      </c>
      <c r="T581" s="34" t="str">
        <f aca="false">IF(A581="","",IFERROR(INDEX(Customers!$B$5:$B$204,MATCH(C581,Customers!$A$5:$A$204,0))&amp;"",""))</f>
        <v/>
      </c>
      <c r="U581" s="38" t="str">
        <f aca="false">IF(A581="","",IF(T581&lt;&gt;"","B2B",IF(AND(O581="Yes",SUMIF($A$5:$A$1004,A581,$L$5:$L$1004)+SUMIF($A$5:$A$1004,A581,$P$5:$P$1004)&gt;100000),"B2CL","B2CS")))</f>
        <v/>
      </c>
      <c r="V581" s="17" t="str">
        <f aca="false">IF(A581="","",TEXT(B581,"mmm-yyyy"))</f>
        <v/>
      </c>
    </row>
    <row r="582" customFormat="false" ht="15" hidden="false" customHeight="true" outlineLevel="0" collapsed="false">
      <c r="A582" s="24"/>
      <c r="B582" s="39"/>
      <c r="C582" s="24"/>
      <c r="D582" s="24"/>
      <c r="E582" s="40"/>
      <c r="F582" s="29"/>
      <c r="G582" s="30"/>
      <c r="H582" s="17" t="str">
        <f aca="false">IF(A582="","",A582&amp;"|"&amp;COUNTIF(A$5:A582,A582))</f>
        <v/>
      </c>
      <c r="I582" s="33" t="str">
        <f aca="false">IF(A582="","",IFERROR(INDEX(Items!$B$5:$B$304,MATCH(D582,Items!$A$5:$A$304,0))&amp;"",""))</f>
        <v/>
      </c>
      <c r="J582" s="34" t="str">
        <f aca="false">IF(A582="","",IFERROR(INDEX(Items!$C$5:$C$304,MATCH(D582,Items!$A$5:$A$304,0))&amp;"",""))</f>
        <v/>
      </c>
      <c r="K582" s="35" t="n">
        <f aca="false">IF(A582="",0,IF(ISNUMBER(F582),F582,IFERROR(INDEX(Items!$D$5:$D$304,MATCH(D582,Items!$A$5:$A$304,0)),0)))</f>
        <v>0</v>
      </c>
      <c r="L582" s="35" t="n">
        <f aca="false">ROUND(N(E582)*K582*(1-N(G582)),2)</f>
        <v>0</v>
      </c>
      <c r="M582" s="36" t="n">
        <f aca="false">IF(A582="",0,IFERROR(INDEX(Items!$E$5:$E$304,MATCH(D582,Items!$A$5:$A$304,0)),0))</f>
        <v>0</v>
      </c>
      <c r="N582" s="37" t="str">
        <f aca="false">IF(A582="","",IFERROR(INDEX(Customers!$E$5:$E$204,MATCH(C582,Customers!$A$5:$A$204,0)),"?"))</f>
        <v/>
      </c>
      <c r="O582" s="38" t="str">
        <f aca="false">IF(A582="","",IF(N582=Settings!$B$17,"No","Yes"))</f>
        <v/>
      </c>
      <c r="P582" s="35" t="n">
        <f aca="false">IF(O582="Yes",ROUND(L582*M582,2),0)</f>
        <v>0</v>
      </c>
      <c r="Q582" s="35" t="n">
        <f aca="false">IF(O582="No",ROUND(L582*M582/2,2),0)</f>
        <v>0</v>
      </c>
      <c r="R582" s="35" t="n">
        <f aca="false">Q582</f>
        <v>0</v>
      </c>
      <c r="S582" s="35" t="n">
        <f aca="false">L582+P582+Q582+R582</f>
        <v>0</v>
      </c>
      <c r="T582" s="34" t="str">
        <f aca="false">IF(A582="","",IFERROR(INDEX(Customers!$B$5:$B$204,MATCH(C582,Customers!$A$5:$A$204,0))&amp;"",""))</f>
        <v/>
      </c>
      <c r="U582" s="38" t="str">
        <f aca="false">IF(A582="","",IF(T582&lt;&gt;"","B2B",IF(AND(O582="Yes",SUMIF($A$5:$A$1004,A582,$L$5:$L$1004)+SUMIF($A$5:$A$1004,A582,$P$5:$P$1004)&gt;100000),"B2CL","B2CS")))</f>
        <v/>
      </c>
      <c r="V582" s="17" t="str">
        <f aca="false">IF(A582="","",TEXT(B582,"mmm-yyyy"))</f>
        <v/>
      </c>
    </row>
    <row r="583" customFormat="false" ht="15" hidden="false" customHeight="true" outlineLevel="0" collapsed="false">
      <c r="A583" s="24"/>
      <c r="B583" s="39"/>
      <c r="C583" s="24"/>
      <c r="D583" s="24"/>
      <c r="E583" s="40"/>
      <c r="F583" s="29"/>
      <c r="G583" s="30"/>
      <c r="H583" s="17" t="str">
        <f aca="false">IF(A583="","",A583&amp;"|"&amp;COUNTIF(A$5:A583,A583))</f>
        <v/>
      </c>
      <c r="I583" s="33" t="str">
        <f aca="false">IF(A583="","",IFERROR(INDEX(Items!$B$5:$B$304,MATCH(D583,Items!$A$5:$A$304,0))&amp;"",""))</f>
        <v/>
      </c>
      <c r="J583" s="34" t="str">
        <f aca="false">IF(A583="","",IFERROR(INDEX(Items!$C$5:$C$304,MATCH(D583,Items!$A$5:$A$304,0))&amp;"",""))</f>
        <v/>
      </c>
      <c r="K583" s="35" t="n">
        <f aca="false">IF(A583="",0,IF(ISNUMBER(F583),F583,IFERROR(INDEX(Items!$D$5:$D$304,MATCH(D583,Items!$A$5:$A$304,0)),0)))</f>
        <v>0</v>
      </c>
      <c r="L583" s="35" t="n">
        <f aca="false">ROUND(N(E583)*K583*(1-N(G583)),2)</f>
        <v>0</v>
      </c>
      <c r="M583" s="36" t="n">
        <f aca="false">IF(A583="",0,IFERROR(INDEX(Items!$E$5:$E$304,MATCH(D583,Items!$A$5:$A$304,0)),0))</f>
        <v>0</v>
      </c>
      <c r="N583" s="37" t="str">
        <f aca="false">IF(A583="","",IFERROR(INDEX(Customers!$E$5:$E$204,MATCH(C583,Customers!$A$5:$A$204,0)),"?"))</f>
        <v/>
      </c>
      <c r="O583" s="38" t="str">
        <f aca="false">IF(A583="","",IF(N583=Settings!$B$17,"No","Yes"))</f>
        <v/>
      </c>
      <c r="P583" s="35" t="n">
        <f aca="false">IF(O583="Yes",ROUND(L583*M583,2),0)</f>
        <v>0</v>
      </c>
      <c r="Q583" s="35" t="n">
        <f aca="false">IF(O583="No",ROUND(L583*M583/2,2),0)</f>
        <v>0</v>
      </c>
      <c r="R583" s="35" t="n">
        <f aca="false">Q583</f>
        <v>0</v>
      </c>
      <c r="S583" s="35" t="n">
        <f aca="false">L583+P583+Q583+R583</f>
        <v>0</v>
      </c>
      <c r="T583" s="34" t="str">
        <f aca="false">IF(A583="","",IFERROR(INDEX(Customers!$B$5:$B$204,MATCH(C583,Customers!$A$5:$A$204,0))&amp;"",""))</f>
        <v/>
      </c>
      <c r="U583" s="38" t="str">
        <f aca="false">IF(A583="","",IF(T583&lt;&gt;"","B2B",IF(AND(O583="Yes",SUMIF($A$5:$A$1004,A583,$L$5:$L$1004)+SUMIF($A$5:$A$1004,A583,$P$5:$P$1004)&gt;100000),"B2CL","B2CS")))</f>
        <v/>
      </c>
      <c r="V583" s="17" t="str">
        <f aca="false">IF(A583="","",TEXT(B583,"mmm-yyyy"))</f>
        <v/>
      </c>
    </row>
    <row r="584" customFormat="false" ht="15" hidden="false" customHeight="true" outlineLevel="0" collapsed="false">
      <c r="A584" s="24"/>
      <c r="B584" s="39"/>
      <c r="C584" s="24"/>
      <c r="D584" s="24"/>
      <c r="E584" s="40"/>
      <c r="F584" s="29"/>
      <c r="G584" s="30"/>
      <c r="H584" s="17" t="str">
        <f aca="false">IF(A584="","",A584&amp;"|"&amp;COUNTIF(A$5:A584,A584))</f>
        <v/>
      </c>
      <c r="I584" s="33" t="str">
        <f aca="false">IF(A584="","",IFERROR(INDEX(Items!$B$5:$B$304,MATCH(D584,Items!$A$5:$A$304,0))&amp;"",""))</f>
        <v/>
      </c>
      <c r="J584" s="34" t="str">
        <f aca="false">IF(A584="","",IFERROR(INDEX(Items!$C$5:$C$304,MATCH(D584,Items!$A$5:$A$304,0))&amp;"",""))</f>
        <v/>
      </c>
      <c r="K584" s="35" t="n">
        <f aca="false">IF(A584="",0,IF(ISNUMBER(F584),F584,IFERROR(INDEX(Items!$D$5:$D$304,MATCH(D584,Items!$A$5:$A$304,0)),0)))</f>
        <v>0</v>
      </c>
      <c r="L584" s="35" t="n">
        <f aca="false">ROUND(N(E584)*K584*(1-N(G584)),2)</f>
        <v>0</v>
      </c>
      <c r="M584" s="36" t="n">
        <f aca="false">IF(A584="",0,IFERROR(INDEX(Items!$E$5:$E$304,MATCH(D584,Items!$A$5:$A$304,0)),0))</f>
        <v>0</v>
      </c>
      <c r="N584" s="37" t="str">
        <f aca="false">IF(A584="","",IFERROR(INDEX(Customers!$E$5:$E$204,MATCH(C584,Customers!$A$5:$A$204,0)),"?"))</f>
        <v/>
      </c>
      <c r="O584" s="38" t="str">
        <f aca="false">IF(A584="","",IF(N584=Settings!$B$17,"No","Yes"))</f>
        <v/>
      </c>
      <c r="P584" s="35" t="n">
        <f aca="false">IF(O584="Yes",ROUND(L584*M584,2),0)</f>
        <v>0</v>
      </c>
      <c r="Q584" s="35" t="n">
        <f aca="false">IF(O584="No",ROUND(L584*M584/2,2),0)</f>
        <v>0</v>
      </c>
      <c r="R584" s="35" t="n">
        <f aca="false">Q584</f>
        <v>0</v>
      </c>
      <c r="S584" s="35" t="n">
        <f aca="false">L584+P584+Q584+R584</f>
        <v>0</v>
      </c>
      <c r="T584" s="34" t="str">
        <f aca="false">IF(A584="","",IFERROR(INDEX(Customers!$B$5:$B$204,MATCH(C584,Customers!$A$5:$A$204,0))&amp;"",""))</f>
        <v/>
      </c>
      <c r="U584" s="38" t="str">
        <f aca="false">IF(A584="","",IF(T584&lt;&gt;"","B2B",IF(AND(O584="Yes",SUMIF($A$5:$A$1004,A584,$L$5:$L$1004)+SUMIF($A$5:$A$1004,A584,$P$5:$P$1004)&gt;100000),"B2CL","B2CS")))</f>
        <v/>
      </c>
      <c r="V584" s="17" t="str">
        <f aca="false">IF(A584="","",TEXT(B584,"mmm-yyyy"))</f>
        <v/>
      </c>
    </row>
    <row r="585" customFormat="false" ht="15" hidden="false" customHeight="true" outlineLevel="0" collapsed="false">
      <c r="A585" s="24"/>
      <c r="B585" s="39"/>
      <c r="C585" s="24"/>
      <c r="D585" s="24"/>
      <c r="E585" s="40"/>
      <c r="F585" s="29"/>
      <c r="G585" s="30"/>
      <c r="H585" s="17" t="str">
        <f aca="false">IF(A585="","",A585&amp;"|"&amp;COUNTIF(A$5:A585,A585))</f>
        <v/>
      </c>
      <c r="I585" s="33" t="str">
        <f aca="false">IF(A585="","",IFERROR(INDEX(Items!$B$5:$B$304,MATCH(D585,Items!$A$5:$A$304,0))&amp;"",""))</f>
        <v/>
      </c>
      <c r="J585" s="34" t="str">
        <f aca="false">IF(A585="","",IFERROR(INDEX(Items!$C$5:$C$304,MATCH(D585,Items!$A$5:$A$304,0))&amp;"",""))</f>
        <v/>
      </c>
      <c r="K585" s="35" t="n">
        <f aca="false">IF(A585="",0,IF(ISNUMBER(F585),F585,IFERROR(INDEX(Items!$D$5:$D$304,MATCH(D585,Items!$A$5:$A$304,0)),0)))</f>
        <v>0</v>
      </c>
      <c r="L585" s="35" t="n">
        <f aca="false">ROUND(N(E585)*K585*(1-N(G585)),2)</f>
        <v>0</v>
      </c>
      <c r="M585" s="36" t="n">
        <f aca="false">IF(A585="",0,IFERROR(INDEX(Items!$E$5:$E$304,MATCH(D585,Items!$A$5:$A$304,0)),0))</f>
        <v>0</v>
      </c>
      <c r="N585" s="37" t="str">
        <f aca="false">IF(A585="","",IFERROR(INDEX(Customers!$E$5:$E$204,MATCH(C585,Customers!$A$5:$A$204,0)),"?"))</f>
        <v/>
      </c>
      <c r="O585" s="38" t="str">
        <f aca="false">IF(A585="","",IF(N585=Settings!$B$17,"No","Yes"))</f>
        <v/>
      </c>
      <c r="P585" s="35" t="n">
        <f aca="false">IF(O585="Yes",ROUND(L585*M585,2),0)</f>
        <v>0</v>
      </c>
      <c r="Q585" s="35" t="n">
        <f aca="false">IF(O585="No",ROUND(L585*M585/2,2),0)</f>
        <v>0</v>
      </c>
      <c r="R585" s="35" t="n">
        <f aca="false">Q585</f>
        <v>0</v>
      </c>
      <c r="S585" s="35" t="n">
        <f aca="false">L585+P585+Q585+R585</f>
        <v>0</v>
      </c>
      <c r="T585" s="34" t="str">
        <f aca="false">IF(A585="","",IFERROR(INDEX(Customers!$B$5:$B$204,MATCH(C585,Customers!$A$5:$A$204,0))&amp;"",""))</f>
        <v/>
      </c>
      <c r="U585" s="38" t="str">
        <f aca="false">IF(A585="","",IF(T585&lt;&gt;"","B2B",IF(AND(O585="Yes",SUMIF($A$5:$A$1004,A585,$L$5:$L$1004)+SUMIF($A$5:$A$1004,A585,$P$5:$P$1004)&gt;100000),"B2CL","B2CS")))</f>
        <v/>
      </c>
      <c r="V585" s="17" t="str">
        <f aca="false">IF(A585="","",TEXT(B585,"mmm-yyyy"))</f>
        <v/>
      </c>
    </row>
    <row r="586" customFormat="false" ht="15" hidden="false" customHeight="true" outlineLevel="0" collapsed="false">
      <c r="A586" s="24"/>
      <c r="B586" s="39"/>
      <c r="C586" s="24"/>
      <c r="D586" s="24"/>
      <c r="E586" s="40"/>
      <c r="F586" s="29"/>
      <c r="G586" s="30"/>
      <c r="H586" s="17" t="str">
        <f aca="false">IF(A586="","",A586&amp;"|"&amp;COUNTIF(A$5:A586,A586))</f>
        <v/>
      </c>
      <c r="I586" s="33" t="str">
        <f aca="false">IF(A586="","",IFERROR(INDEX(Items!$B$5:$B$304,MATCH(D586,Items!$A$5:$A$304,0))&amp;"",""))</f>
        <v/>
      </c>
      <c r="J586" s="34" t="str">
        <f aca="false">IF(A586="","",IFERROR(INDEX(Items!$C$5:$C$304,MATCH(D586,Items!$A$5:$A$304,0))&amp;"",""))</f>
        <v/>
      </c>
      <c r="K586" s="35" t="n">
        <f aca="false">IF(A586="",0,IF(ISNUMBER(F586),F586,IFERROR(INDEX(Items!$D$5:$D$304,MATCH(D586,Items!$A$5:$A$304,0)),0)))</f>
        <v>0</v>
      </c>
      <c r="L586" s="35" t="n">
        <f aca="false">ROUND(N(E586)*K586*(1-N(G586)),2)</f>
        <v>0</v>
      </c>
      <c r="M586" s="36" t="n">
        <f aca="false">IF(A586="",0,IFERROR(INDEX(Items!$E$5:$E$304,MATCH(D586,Items!$A$5:$A$304,0)),0))</f>
        <v>0</v>
      </c>
      <c r="N586" s="37" t="str">
        <f aca="false">IF(A586="","",IFERROR(INDEX(Customers!$E$5:$E$204,MATCH(C586,Customers!$A$5:$A$204,0)),"?"))</f>
        <v/>
      </c>
      <c r="O586" s="38" t="str">
        <f aca="false">IF(A586="","",IF(N586=Settings!$B$17,"No","Yes"))</f>
        <v/>
      </c>
      <c r="P586" s="35" t="n">
        <f aca="false">IF(O586="Yes",ROUND(L586*M586,2),0)</f>
        <v>0</v>
      </c>
      <c r="Q586" s="35" t="n">
        <f aca="false">IF(O586="No",ROUND(L586*M586/2,2),0)</f>
        <v>0</v>
      </c>
      <c r="R586" s="35" t="n">
        <f aca="false">Q586</f>
        <v>0</v>
      </c>
      <c r="S586" s="35" t="n">
        <f aca="false">L586+P586+Q586+R586</f>
        <v>0</v>
      </c>
      <c r="T586" s="34" t="str">
        <f aca="false">IF(A586="","",IFERROR(INDEX(Customers!$B$5:$B$204,MATCH(C586,Customers!$A$5:$A$204,0))&amp;"",""))</f>
        <v/>
      </c>
      <c r="U586" s="38" t="str">
        <f aca="false">IF(A586="","",IF(T586&lt;&gt;"","B2B",IF(AND(O586="Yes",SUMIF($A$5:$A$1004,A586,$L$5:$L$1004)+SUMIF($A$5:$A$1004,A586,$P$5:$P$1004)&gt;100000),"B2CL","B2CS")))</f>
        <v/>
      </c>
      <c r="V586" s="17" t="str">
        <f aca="false">IF(A586="","",TEXT(B586,"mmm-yyyy"))</f>
        <v/>
      </c>
    </row>
    <row r="587" customFormat="false" ht="15" hidden="false" customHeight="true" outlineLevel="0" collapsed="false">
      <c r="A587" s="24"/>
      <c r="B587" s="39"/>
      <c r="C587" s="24"/>
      <c r="D587" s="24"/>
      <c r="E587" s="40"/>
      <c r="F587" s="29"/>
      <c r="G587" s="30"/>
      <c r="H587" s="17" t="str">
        <f aca="false">IF(A587="","",A587&amp;"|"&amp;COUNTIF(A$5:A587,A587))</f>
        <v/>
      </c>
      <c r="I587" s="33" t="str">
        <f aca="false">IF(A587="","",IFERROR(INDEX(Items!$B$5:$B$304,MATCH(D587,Items!$A$5:$A$304,0))&amp;"",""))</f>
        <v/>
      </c>
      <c r="J587" s="34" t="str">
        <f aca="false">IF(A587="","",IFERROR(INDEX(Items!$C$5:$C$304,MATCH(D587,Items!$A$5:$A$304,0))&amp;"",""))</f>
        <v/>
      </c>
      <c r="K587" s="35" t="n">
        <f aca="false">IF(A587="",0,IF(ISNUMBER(F587),F587,IFERROR(INDEX(Items!$D$5:$D$304,MATCH(D587,Items!$A$5:$A$304,0)),0)))</f>
        <v>0</v>
      </c>
      <c r="L587" s="35" t="n">
        <f aca="false">ROUND(N(E587)*K587*(1-N(G587)),2)</f>
        <v>0</v>
      </c>
      <c r="M587" s="36" t="n">
        <f aca="false">IF(A587="",0,IFERROR(INDEX(Items!$E$5:$E$304,MATCH(D587,Items!$A$5:$A$304,0)),0))</f>
        <v>0</v>
      </c>
      <c r="N587" s="37" t="str">
        <f aca="false">IF(A587="","",IFERROR(INDEX(Customers!$E$5:$E$204,MATCH(C587,Customers!$A$5:$A$204,0)),"?"))</f>
        <v/>
      </c>
      <c r="O587" s="38" t="str">
        <f aca="false">IF(A587="","",IF(N587=Settings!$B$17,"No","Yes"))</f>
        <v/>
      </c>
      <c r="P587" s="35" t="n">
        <f aca="false">IF(O587="Yes",ROUND(L587*M587,2),0)</f>
        <v>0</v>
      </c>
      <c r="Q587" s="35" t="n">
        <f aca="false">IF(O587="No",ROUND(L587*M587/2,2),0)</f>
        <v>0</v>
      </c>
      <c r="R587" s="35" t="n">
        <f aca="false">Q587</f>
        <v>0</v>
      </c>
      <c r="S587" s="35" t="n">
        <f aca="false">L587+P587+Q587+R587</f>
        <v>0</v>
      </c>
      <c r="T587" s="34" t="str">
        <f aca="false">IF(A587="","",IFERROR(INDEX(Customers!$B$5:$B$204,MATCH(C587,Customers!$A$5:$A$204,0))&amp;"",""))</f>
        <v/>
      </c>
      <c r="U587" s="38" t="str">
        <f aca="false">IF(A587="","",IF(T587&lt;&gt;"","B2B",IF(AND(O587="Yes",SUMIF($A$5:$A$1004,A587,$L$5:$L$1004)+SUMIF($A$5:$A$1004,A587,$P$5:$P$1004)&gt;100000),"B2CL","B2CS")))</f>
        <v/>
      </c>
      <c r="V587" s="17" t="str">
        <f aca="false">IF(A587="","",TEXT(B587,"mmm-yyyy"))</f>
        <v/>
      </c>
    </row>
    <row r="588" customFormat="false" ht="15" hidden="false" customHeight="true" outlineLevel="0" collapsed="false">
      <c r="A588" s="24"/>
      <c r="B588" s="39"/>
      <c r="C588" s="24"/>
      <c r="D588" s="24"/>
      <c r="E588" s="40"/>
      <c r="F588" s="29"/>
      <c r="G588" s="30"/>
      <c r="H588" s="17" t="str">
        <f aca="false">IF(A588="","",A588&amp;"|"&amp;COUNTIF(A$5:A588,A588))</f>
        <v/>
      </c>
      <c r="I588" s="33" t="str">
        <f aca="false">IF(A588="","",IFERROR(INDEX(Items!$B$5:$B$304,MATCH(D588,Items!$A$5:$A$304,0))&amp;"",""))</f>
        <v/>
      </c>
      <c r="J588" s="34" t="str">
        <f aca="false">IF(A588="","",IFERROR(INDEX(Items!$C$5:$C$304,MATCH(D588,Items!$A$5:$A$304,0))&amp;"",""))</f>
        <v/>
      </c>
      <c r="K588" s="35" t="n">
        <f aca="false">IF(A588="",0,IF(ISNUMBER(F588),F588,IFERROR(INDEX(Items!$D$5:$D$304,MATCH(D588,Items!$A$5:$A$304,0)),0)))</f>
        <v>0</v>
      </c>
      <c r="L588" s="35" t="n">
        <f aca="false">ROUND(N(E588)*K588*(1-N(G588)),2)</f>
        <v>0</v>
      </c>
      <c r="M588" s="36" t="n">
        <f aca="false">IF(A588="",0,IFERROR(INDEX(Items!$E$5:$E$304,MATCH(D588,Items!$A$5:$A$304,0)),0))</f>
        <v>0</v>
      </c>
      <c r="N588" s="37" t="str">
        <f aca="false">IF(A588="","",IFERROR(INDEX(Customers!$E$5:$E$204,MATCH(C588,Customers!$A$5:$A$204,0)),"?"))</f>
        <v/>
      </c>
      <c r="O588" s="38" t="str">
        <f aca="false">IF(A588="","",IF(N588=Settings!$B$17,"No","Yes"))</f>
        <v/>
      </c>
      <c r="P588" s="35" t="n">
        <f aca="false">IF(O588="Yes",ROUND(L588*M588,2),0)</f>
        <v>0</v>
      </c>
      <c r="Q588" s="35" t="n">
        <f aca="false">IF(O588="No",ROUND(L588*M588/2,2),0)</f>
        <v>0</v>
      </c>
      <c r="R588" s="35" t="n">
        <f aca="false">Q588</f>
        <v>0</v>
      </c>
      <c r="S588" s="35" t="n">
        <f aca="false">L588+P588+Q588+R588</f>
        <v>0</v>
      </c>
      <c r="T588" s="34" t="str">
        <f aca="false">IF(A588="","",IFERROR(INDEX(Customers!$B$5:$B$204,MATCH(C588,Customers!$A$5:$A$204,0))&amp;"",""))</f>
        <v/>
      </c>
      <c r="U588" s="38" t="str">
        <f aca="false">IF(A588="","",IF(T588&lt;&gt;"","B2B",IF(AND(O588="Yes",SUMIF($A$5:$A$1004,A588,$L$5:$L$1004)+SUMIF($A$5:$A$1004,A588,$P$5:$P$1004)&gt;100000),"B2CL","B2CS")))</f>
        <v/>
      </c>
      <c r="V588" s="17" t="str">
        <f aca="false">IF(A588="","",TEXT(B588,"mmm-yyyy"))</f>
        <v/>
      </c>
    </row>
    <row r="589" customFormat="false" ht="15" hidden="false" customHeight="true" outlineLevel="0" collapsed="false">
      <c r="A589" s="24"/>
      <c r="B589" s="39"/>
      <c r="C589" s="24"/>
      <c r="D589" s="24"/>
      <c r="E589" s="40"/>
      <c r="F589" s="29"/>
      <c r="G589" s="30"/>
      <c r="H589" s="17" t="str">
        <f aca="false">IF(A589="","",A589&amp;"|"&amp;COUNTIF(A$5:A589,A589))</f>
        <v/>
      </c>
      <c r="I589" s="33" t="str">
        <f aca="false">IF(A589="","",IFERROR(INDEX(Items!$B$5:$B$304,MATCH(D589,Items!$A$5:$A$304,0))&amp;"",""))</f>
        <v/>
      </c>
      <c r="J589" s="34" t="str">
        <f aca="false">IF(A589="","",IFERROR(INDEX(Items!$C$5:$C$304,MATCH(D589,Items!$A$5:$A$304,0))&amp;"",""))</f>
        <v/>
      </c>
      <c r="K589" s="35" t="n">
        <f aca="false">IF(A589="",0,IF(ISNUMBER(F589),F589,IFERROR(INDEX(Items!$D$5:$D$304,MATCH(D589,Items!$A$5:$A$304,0)),0)))</f>
        <v>0</v>
      </c>
      <c r="L589" s="35" t="n">
        <f aca="false">ROUND(N(E589)*K589*(1-N(G589)),2)</f>
        <v>0</v>
      </c>
      <c r="M589" s="36" t="n">
        <f aca="false">IF(A589="",0,IFERROR(INDEX(Items!$E$5:$E$304,MATCH(D589,Items!$A$5:$A$304,0)),0))</f>
        <v>0</v>
      </c>
      <c r="N589" s="37" t="str">
        <f aca="false">IF(A589="","",IFERROR(INDEX(Customers!$E$5:$E$204,MATCH(C589,Customers!$A$5:$A$204,0)),"?"))</f>
        <v/>
      </c>
      <c r="O589" s="38" t="str">
        <f aca="false">IF(A589="","",IF(N589=Settings!$B$17,"No","Yes"))</f>
        <v/>
      </c>
      <c r="P589" s="35" t="n">
        <f aca="false">IF(O589="Yes",ROUND(L589*M589,2),0)</f>
        <v>0</v>
      </c>
      <c r="Q589" s="35" t="n">
        <f aca="false">IF(O589="No",ROUND(L589*M589/2,2),0)</f>
        <v>0</v>
      </c>
      <c r="R589" s="35" t="n">
        <f aca="false">Q589</f>
        <v>0</v>
      </c>
      <c r="S589" s="35" t="n">
        <f aca="false">L589+P589+Q589+R589</f>
        <v>0</v>
      </c>
      <c r="T589" s="34" t="str">
        <f aca="false">IF(A589="","",IFERROR(INDEX(Customers!$B$5:$B$204,MATCH(C589,Customers!$A$5:$A$204,0))&amp;"",""))</f>
        <v/>
      </c>
      <c r="U589" s="38" t="str">
        <f aca="false">IF(A589="","",IF(T589&lt;&gt;"","B2B",IF(AND(O589="Yes",SUMIF($A$5:$A$1004,A589,$L$5:$L$1004)+SUMIF($A$5:$A$1004,A589,$P$5:$P$1004)&gt;100000),"B2CL","B2CS")))</f>
        <v/>
      </c>
      <c r="V589" s="17" t="str">
        <f aca="false">IF(A589="","",TEXT(B589,"mmm-yyyy"))</f>
        <v/>
      </c>
    </row>
    <row r="590" customFormat="false" ht="15" hidden="false" customHeight="true" outlineLevel="0" collapsed="false">
      <c r="A590" s="24"/>
      <c r="B590" s="39"/>
      <c r="C590" s="24"/>
      <c r="D590" s="24"/>
      <c r="E590" s="40"/>
      <c r="F590" s="29"/>
      <c r="G590" s="30"/>
      <c r="H590" s="17" t="str">
        <f aca="false">IF(A590="","",A590&amp;"|"&amp;COUNTIF(A$5:A590,A590))</f>
        <v/>
      </c>
      <c r="I590" s="33" t="str">
        <f aca="false">IF(A590="","",IFERROR(INDEX(Items!$B$5:$B$304,MATCH(D590,Items!$A$5:$A$304,0))&amp;"",""))</f>
        <v/>
      </c>
      <c r="J590" s="34" t="str">
        <f aca="false">IF(A590="","",IFERROR(INDEX(Items!$C$5:$C$304,MATCH(D590,Items!$A$5:$A$304,0))&amp;"",""))</f>
        <v/>
      </c>
      <c r="K590" s="35" t="n">
        <f aca="false">IF(A590="",0,IF(ISNUMBER(F590),F590,IFERROR(INDEX(Items!$D$5:$D$304,MATCH(D590,Items!$A$5:$A$304,0)),0)))</f>
        <v>0</v>
      </c>
      <c r="L590" s="35" t="n">
        <f aca="false">ROUND(N(E590)*K590*(1-N(G590)),2)</f>
        <v>0</v>
      </c>
      <c r="M590" s="36" t="n">
        <f aca="false">IF(A590="",0,IFERROR(INDEX(Items!$E$5:$E$304,MATCH(D590,Items!$A$5:$A$304,0)),0))</f>
        <v>0</v>
      </c>
      <c r="N590" s="37" t="str">
        <f aca="false">IF(A590="","",IFERROR(INDEX(Customers!$E$5:$E$204,MATCH(C590,Customers!$A$5:$A$204,0)),"?"))</f>
        <v/>
      </c>
      <c r="O590" s="38" t="str">
        <f aca="false">IF(A590="","",IF(N590=Settings!$B$17,"No","Yes"))</f>
        <v/>
      </c>
      <c r="P590" s="35" t="n">
        <f aca="false">IF(O590="Yes",ROUND(L590*M590,2),0)</f>
        <v>0</v>
      </c>
      <c r="Q590" s="35" t="n">
        <f aca="false">IF(O590="No",ROUND(L590*M590/2,2),0)</f>
        <v>0</v>
      </c>
      <c r="R590" s="35" t="n">
        <f aca="false">Q590</f>
        <v>0</v>
      </c>
      <c r="S590" s="35" t="n">
        <f aca="false">L590+P590+Q590+R590</f>
        <v>0</v>
      </c>
      <c r="T590" s="34" t="str">
        <f aca="false">IF(A590="","",IFERROR(INDEX(Customers!$B$5:$B$204,MATCH(C590,Customers!$A$5:$A$204,0))&amp;"",""))</f>
        <v/>
      </c>
      <c r="U590" s="38" t="str">
        <f aca="false">IF(A590="","",IF(T590&lt;&gt;"","B2B",IF(AND(O590="Yes",SUMIF($A$5:$A$1004,A590,$L$5:$L$1004)+SUMIF($A$5:$A$1004,A590,$P$5:$P$1004)&gt;100000),"B2CL","B2CS")))</f>
        <v/>
      </c>
      <c r="V590" s="17" t="str">
        <f aca="false">IF(A590="","",TEXT(B590,"mmm-yyyy"))</f>
        <v/>
      </c>
    </row>
    <row r="591" customFormat="false" ht="15" hidden="false" customHeight="true" outlineLevel="0" collapsed="false">
      <c r="A591" s="24"/>
      <c r="B591" s="39"/>
      <c r="C591" s="24"/>
      <c r="D591" s="24"/>
      <c r="E591" s="40"/>
      <c r="F591" s="29"/>
      <c r="G591" s="30"/>
      <c r="H591" s="17" t="str">
        <f aca="false">IF(A591="","",A591&amp;"|"&amp;COUNTIF(A$5:A591,A591))</f>
        <v/>
      </c>
      <c r="I591" s="33" t="str">
        <f aca="false">IF(A591="","",IFERROR(INDEX(Items!$B$5:$B$304,MATCH(D591,Items!$A$5:$A$304,0))&amp;"",""))</f>
        <v/>
      </c>
      <c r="J591" s="34" t="str">
        <f aca="false">IF(A591="","",IFERROR(INDEX(Items!$C$5:$C$304,MATCH(D591,Items!$A$5:$A$304,0))&amp;"",""))</f>
        <v/>
      </c>
      <c r="K591" s="35" t="n">
        <f aca="false">IF(A591="",0,IF(ISNUMBER(F591),F591,IFERROR(INDEX(Items!$D$5:$D$304,MATCH(D591,Items!$A$5:$A$304,0)),0)))</f>
        <v>0</v>
      </c>
      <c r="L591" s="35" t="n">
        <f aca="false">ROUND(N(E591)*K591*(1-N(G591)),2)</f>
        <v>0</v>
      </c>
      <c r="M591" s="36" t="n">
        <f aca="false">IF(A591="",0,IFERROR(INDEX(Items!$E$5:$E$304,MATCH(D591,Items!$A$5:$A$304,0)),0))</f>
        <v>0</v>
      </c>
      <c r="N591" s="37" t="str">
        <f aca="false">IF(A591="","",IFERROR(INDEX(Customers!$E$5:$E$204,MATCH(C591,Customers!$A$5:$A$204,0)),"?"))</f>
        <v/>
      </c>
      <c r="O591" s="38" t="str">
        <f aca="false">IF(A591="","",IF(N591=Settings!$B$17,"No","Yes"))</f>
        <v/>
      </c>
      <c r="P591" s="35" t="n">
        <f aca="false">IF(O591="Yes",ROUND(L591*M591,2),0)</f>
        <v>0</v>
      </c>
      <c r="Q591" s="35" t="n">
        <f aca="false">IF(O591="No",ROUND(L591*M591/2,2),0)</f>
        <v>0</v>
      </c>
      <c r="R591" s="35" t="n">
        <f aca="false">Q591</f>
        <v>0</v>
      </c>
      <c r="S591" s="35" t="n">
        <f aca="false">L591+P591+Q591+R591</f>
        <v>0</v>
      </c>
      <c r="T591" s="34" t="str">
        <f aca="false">IF(A591="","",IFERROR(INDEX(Customers!$B$5:$B$204,MATCH(C591,Customers!$A$5:$A$204,0))&amp;"",""))</f>
        <v/>
      </c>
      <c r="U591" s="38" t="str">
        <f aca="false">IF(A591="","",IF(T591&lt;&gt;"","B2B",IF(AND(O591="Yes",SUMIF($A$5:$A$1004,A591,$L$5:$L$1004)+SUMIF($A$5:$A$1004,A591,$P$5:$P$1004)&gt;100000),"B2CL","B2CS")))</f>
        <v/>
      </c>
      <c r="V591" s="17" t="str">
        <f aca="false">IF(A591="","",TEXT(B591,"mmm-yyyy"))</f>
        <v/>
      </c>
    </row>
    <row r="592" customFormat="false" ht="15" hidden="false" customHeight="true" outlineLevel="0" collapsed="false">
      <c r="A592" s="24"/>
      <c r="B592" s="39"/>
      <c r="C592" s="24"/>
      <c r="D592" s="24"/>
      <c r="E592" s="40"/>
      <c r="F592" s="29"/>
      <c r="G592" s="30"/>
      <c r="H592" s="17" t="str">
        <f aca="false">IF(A592="","",A592&amp;"|"&amp;COUNTIF(A$5:A592,A592))</f>
        <v/>
      </c>
      <c r="I592" s="33" t="str">
        <f aca="false">IF(A592="","",IFERROR(INDEX(Items!$B$5:$B$304,MATCH(D592,Items!$A$5:$A$304,0))&amp;"",""))</f>
        <v/>
      </c>
      <c r="J592" s="34" t="str">
        <f aca="false">IF(A592="","",IFERROR(INDEX(Items!$C$5:$C$304,MATCH(D592,Items!$A$5:$A$304,0))&amp;"",""))</f>
        <v/>
      </c>
      <c r="K592" s="35" t="n">
        <f aca="false">IF(A592="",0,IF(ISNUMBER(F592),F592,IFERROR(INDEX(Items!$D$5:$D$304,MATCH(D592,Items!$A$5:$A$304,0)),0)))</f>
        <v>0</v>
      </c>
      <c r="L592" s="35" t="n">
        <f aca="false">ROUND(N(E592)*K592*(1-N(G592)),2)</f>
        <v>0</v>
      </c>
      <c r="M592" s="36" t="n">
        <f aca="false">IF(A592="",0,IFERROR(INDEX(Items!$E$5:$E$304,MATCH(D592,Items!$A$5:$A$304,0)),0))</f>
        <v>0</v>
      </c>
      <c r="N592" s="37" t="str">
        <f aca="false">IF(A592="","",IFERROR(INDEX(Customers!$E$5:$E$204,MATCH(C592,Customers!$A$5:$A$204,0)),"?"))</f>
        <v/>
      </c>
      <c r="O592" s="38" t="str">
        <f aca="false">IF(A592="","",IF(N592=Settings!$B$17,"No","Yes"))</f>
        <v/>
      </c>
      <c r="P592" s="35" t="n">
        <f aca="false">IF(O592="Yes",ROUND(L592*M592,2),0)</f>
        <v>0</v>
      </c>
      <c r="Q592" s="35" t="n">
        <f aca="false">IF(O592="No",ROUND(L592*M592/2,2),0)</f>
        <v>0</v>
      </c>
      <c r="R592" s="35" t="n">
        <f aca="false">Q592</f>
        <v>0</v>
      </c>
      <c r="S592" s="35" t="n">
        <f aca="false">L592+P592+Q592+R592</f>
        <v>0</v>
      </c>
      <c r="T592" s="34" t="str">
        <f aca="false">IF(A592="","",IFERROR(INDEX(Customers!$B$5:$B$204,MATCH(C592,Customers!$A$5:$A$204,0))&amp;"",""))</f>
        <v/>
      </c>
      <c r="U592" s="38" t="str">
        <f aca="false">IF(A592="","",IF(T592&lt;&gt;"","B2B",IF(AND(O592="Yes",SUMIF($A$5:$A$1004,A592,$L$5:$L$1004)+SUMIF($A$5:$A$1004,A592,$P$5:$P$1004)&gt;100000),"B2CL","B2CS")))</f>
        <v/>
      </c>
      <c r="V592" s="17" t="str">
        <f aca="false">IF(A592="","",TEXT(B592,"mmm-yyyy"))</f>
        <v/>
      </c>
    </row>
    <row r="593" customFormat="false" ht="15" hidden="false" customHeight="true" outlineLevel="0" collapsed="false">
      <c r="A593" s="24"/>
      <c r="B593" s="39"/>
      <c r="C593" s="24"/>
      <c r="D593" s="24"/>
      <c r="E593" s="40"/>
      <c r="F593" s="29"/>
      <c r="G593" s="30"/>
      <c r="H593" s="17" t="str">
        <f aca="false">IF(A593="","",A593&amp;"|"&amp;COUNTIF(A$5:A593,A593))</f>
        <v/>
      </c>
      <c r="I593" s="33" t="str">
        <f aca="false">IF(A593="","",IFERROR(INDEX(Items!$B$5:$B$304,MATCH(D593,Items!$A$5:$A$304,0))&amp;"",""))</f>
        <v/>
      </c>
      <c r="J593" s="34" t="str">
        <f aca="false">IF(A593="","",IFERROR(INDEX(Items!$C$5:$C$304,MATCH(D593,Items!$A$5:$A$304,0))&amp;"",""))</f>
        <v/>
      </c>
      <c r="K593" s="35" t="n">
        <f aca="false">IF(A593="",0,IF(ISNUMBER(F593),F593,IFERROR(INDEX(Items!$D$5:$D$304,MATCH(D593,Items!$A$5:$A$304,0)),0)))</f>
        <v>0</v>
      </c>
      <c r="L593" s="35" t="n">
        <f aca="false">ROUND(N(E593)*K593*(1-N(G593)),2)</f>
        <v>0</v>
      </c>
      <c r="M593" s="36" t="n">
        <f aca="false">IF(A593="",0,IFERROR(INDEX(Items!$E$5:$E$304,MATCH(D593,Items!$A$5:$A$304,0)),0))</f>
        <v>0</v>
      </c>
      <c r="N593" s="37" t="str">
        <f aca="false">IF(A593="","",IFERROR(INDEX(Customers!$E$5:$E$204,MATCH(C593,Customers!$A$5:$A$204,0)),"?"))</f>
        <v/>
      </c>
      <c r="O593" s="38" t="str">
        <f aca="false">IF(A593="","",IF(N593=Settings!$B$17,"No","Yes"))</f>
        <v/>
      </c>
      <c r="P593" s="35" t="n">
        <f aca="false">IF(O593="Yes",ROUND(L593*M593,2),0)</f>
        <v>0</v>
      </c>
      <c r="Q593" s="35" t="n">
        <f aca="false">IF(O593="No",ROUND(L593*M593/2,2),0)</f>
        <v>0</v>
      </c>
      <c r="R593" s="35" t="n">
        <f aca="false">Q593</f>
        <v>0</v>
      </c>
      <c r="S593" s="35" t="n">
        <f aca="false">L593+P593+Q593+R593</f>
        <v>0</v>
      </c>
      <c r="T593" s="34" t="str">
        <f aca="false">IF(A593="","",IFERROR(INDEX(Customers!$B$5:$B$204,MATCH(C593,Customers!$A$5:$A$204,0))&amp;"",""))</f>
        <v/>
      </c>
      <c r="U593" s="38" t="str">
        <f aca="false">IF(A593="","",IF(T593&lt;&gt;"","B2B",IF(AND(O593="Yes",SUMIF($A$5:$A$1004,A593,$L$5:$L$1004)+SUMIF($A$5:$A$1004,A593,$P$5:$P$1004)&gt;100000),"B2CL","B2CS")))</f>
        <v/>
      </c>
      <c r="V593" s="17" t="str">
        <f aca="false">IF(A593="","",TEXT(B593,"mmm-yyyy"))</f>
        <v/>
      </c>
    </row>
    <row r="594" customFormat="false" ht="15" hidden="false" customHeight="true" outlineLevel="0" collapsed="false">
      <c r="A594" s="24"/>
      <c r="B594" s="39"/>
      <c r="C594" s="24"/>
      <c r="D594" s="24"/>
      <c r="E594" s="40"/>
      <c r="F594" s="29"/>
      <c r="G594" s="30"/>
      <c r="H594" s="17" t="str">
        <f aca="false">IF(A594="","",A594&amp;"|"&amp;COUNTIF(A$5:A594,A594))</f>
        <v/>
      </c>
      <c r="I594" s="33" t="str">
        <f aca="false">IF(A594="","",IFERROR(INDEX(Items!$B$5:$B$304,MATCH(D594,Items!$A$5:$A$304,0))&amp;"",""))</f>
        <v/>
      </c>
      <c r="J594" s="34" t="str">
        <f aca="false">IF(A594="","",IFERROR(INDEX(Items!$C$5:$C$304,MATCH(D594,Items!$A$5:$A$304,0))&amp;"",""))</f>
        <v/>
      </c>
      <c r="K594" s="35" t="n">
        <f aca="false">IF(A594="",0,IF(ISNUMBER(F594),F594,IFERROR(INDEX(Items!$D$5:$D$304,MATCH(D594,Items!$A$5:$A$304,0)),0)))</f>
        <v>0</v>
      </c>
      <c r="L594" s="35" t="n">
        <f aca="false">ROUND(N(E594)*K594*(1-N(G594)),2)</f>
        <v>0</v>
      </c>
      <c r="M594" s="36" t="n">
        <f aca="false">IF(A594="",0,IFERROR(INDEX(Items!$E$5:$E$304,MATCH(D594,Items!$A$5:$A$304,0)),0))</f>
        <v>0</v>
      </c>
      <c r="N594" s="37" t="str">
        <f aca="false">IF(A594="","",IFERROR(INDEX(Customers!$E$5:$E$204,MATCH(C594,Customers!$A$5:$A$204,0)),"?"))</f>
        <v/>
      </c>
      <c r="O594" s="38" t="str">
        <f aca="false">IF(A594="","",IF(N594=Settings!$B$17,"No","Yes"))</f>
        <v/>
      </c>
      <c r="P594" s="35" t="n">
        <f aca="false">IF(O594="Yes",ROUND(L594*M594,2),0)</f>
        <v>0</v>
      </c>
      <c r="Q594" s="35" t="n">
        <f aca="false">IF(O594="No",ROUND(L594*M594/2,2),0)</f>
        <v>0</v>
      </c>
      <c r="R594" s="35" t="n">
        <f aca="false">Q594</f>
        <v>0</v>
      </c>
      <c r="S594" s="35" t="n">
        <f aca="false">L594+P594+Q594+R594</f>
        <v>0</v>
      </c>
      <c r="T594" s="34" t="str">
        <f aca="false">IF(A594="","",IFERROR(INDEX(Customers!$B$5:$B$204,MATCH(C594,Customers!$A$5:$A$204,0))&amp;"",""))</f>
        <v/>
      </c>
      <c r="U594" s="38" t="str">
        <f aca="false">IF(A594="","",IF(T594&lt;&gt;"","B2B",IF(AND(O594="Yes",SUMIF($A$5:$A$1004,A594,$L$5:$L$1004)+SUMIF($A$5:$A$1004,A594,$P$5:$P$1004)&gt;100000),"B2CL","B2CS")))</f>
        <v/>
      </c>
      <c r="V594" s="17" t="str">
        <f aca="false">IF(A594="","",TEXT(B594,"mmm-yyyy"))</f>
        <v/>
      </c>
    </row>
    <row r="595" customFormat="false" ht="15" hidden="false" customHeight="true" outlineLevel="0" collapsed="false">
      <c r="A595" s="24"/>
      <c r="B595" s="39"/>
      <c r="C595" s="24"/>
      <c r="D595" s="24"/>
      <c r="E595" s="40"/>
      <c r="F595" s="29"/>
      <c r="G595" s="30"/>
      <c r="H595" s="17" t="str">
        <f aca="false">IF(A595="","",A595&amp;"|"&amp;COUNTIF(A$5:A595,A595))</f>
        <v/>
      </c>
      <c r="I595" s="33" t="str">
        <f aca="false">IF(A595="","",IFERROR(INDEX(Items!$B$5:$B$304,MATCH(D595,Items!$A$5:$A$304,0))&amp;"",""))</f>
        <v/>
      </c>
      <c r="J595" s="34" t="str">
        <f aca="false">IF(A595="","",IFERROR(INDEX(Items!$C$5:$C$304,MATCH(D595,Items!$A$5:$A$304,0))&amp;"",""))</f>
        <v/>
      </c>
      <c r="K595" s="35" t="n">
        <f aca="false">IF(A595="",0,IF(ISNUMBER(F595),F595,IFERROR(INDEX(Items!$D$5:$D$304,MATCH(D595,Items!$A$5:$A$304,0)),0)))</f>
        <v>0</v>
      </c>
      <c r="L595" s="35" t="n">
        <f aca="false">ROUND(N(E595)*K595*(1-N(G595)),2)</f>
        <v>0</v>
      </c>
      <c r="M595" s="36" t="n">
        <f aca="false">IF(A595="",0,IFERROR(INDEX(Items!$E$5:$E$304,MATCH(D595,Items!$A$5:$A$304,0)),0))</f>
        <v>0</v>
      </c>
      <c r="N595" s="37" t="str">
        <f aca="false">IF(A595="","",IFERROR(INDEX(Customers!$E$5:$E$204,MATCH(C595,Customers!$A$5:$A$204,0)),"?"))</f>
        <v/>
      </c>
      <c r="O595" s="38" t="str">
        <f aca="false">IF(A595="","",IF(N595=Settings!$B$17,"No","Yes"))</f>
        <v/>
      </c>
      <c r="P595" s="35" t="n">
        <f aca="false">IF(O595="Yes",ROUND(L595*M595,2),0)</f>
        <v>0</v>
      </c>
      <c r="Q595" s="35" t="n">
        <f aca="false">IF(O595="No",ROUND(L595*M595/2,2),0)</f>
        <v>0</v>
      </c>
      <c r="R595" s="35" t="n">
        <f aca="false">Q595</f>
        <v>0</v>
      </c>
      <c r="S595" s="35" t="n">
        <f aca="false">L595+P595+Q595+R595</f>
        <v>0</v>
      </c>
      <c r="T595" s="34" t="str">
        <f aca="false">IF(A595="","",IFERROR(INDEX(Customers!$B$5:$B$204,MATCH(C595,Customers!$A$5:$A$204,0))&amp;"",""))</f>
        <v/>
      </c>
      <c r="U595" s="38" t="str">
        <f aca="false">IF(A595="","",IF(T595&lt;&gt;"","B2B",IF(AND(O595="Yes",SUMIF($A$5:$A$1004,A595,$L$5:$L$1004)+SUMIF($A$5:$A$1004,A595,$P$5:$P$1004)&gt;100000),"B2CL","B2CS")))</f>
        <v/>
      </c>
      <c r="V595" s="17" t="str">
        <f aca="false">IF(A595="","",TEXT(B595,"mmm-yyyy"))</f>
        <v/>
      </c>
    </row>
    <row r="596" customFormat="false" ht="15" hidden="false" customHeight="true" outlineLevel="0" collapsed="false">
      <c r="A596" s="24"/>
      <c r="B596" s="39"/>
      <c r="C596" s="24"/>
      <c r="D596" s="24"/>
      <c r="E596" s="40"/>
      <c r="F596" s="29"/>
      <c r="G596" s="30"/>
      <c r="H596" s="17" t="str">
        <f aca="false">IF(A596="","",A596&amp;"|"&amp;COUNTIF(A$5:A596,A596))</f>
        <v/>
      </c>
      <c r="I596" s="33" t="str">
        <f aca="false">IF(A596="","",IFERROR(INDEX(Items!$B$5:$B$304,MATCH(D596,Items!$A$5:$A$304,0))&amp;"",""))</f>
        <v/>
      </c>
      <c r="J596" s="34" t="str">
        <f aca="false">IF(A596="","",IFERROR(INDEX(Items!$C$5:$C$304,MATCH(D596,Items!$A$5:$A$304,0))&amp;"",""))</f>
        <v/>
      </c>
      <c r="K596" s="35" t="n">
        <f aca="false">IF(A596="",0,IF(ISNUMBER(F596),F596,IFERROR(INDEX(Items!$D$5:$D$304,MATCH(D596,Items!$A$5:$A$304,0)),0)))</f>
        <v>0</v>
      </c>
      <c r="L596" s="35" t="n">
        <f aca="false">ROUND(N(E596)*K596*(1-N(G596)),2)</f>
        <v>0</v>
      </c>
      <c r="M596" s="36" t="n">
        <f aca="false">IF(A596="",0,IFERROR(INDEX(Items!$E$5:$E$304,MATCH(D596,Items!$A$5:$A$304,0)),0))</f>
        <v>0</v>
      </c>
      <c r="N596" s="37" t="str">
        <f aca="false">IF(A596="","",IFERROR(INDEX(Customers!$E$5:$E$204,MATCH(C596,Customers!$A$5:$A$204,0)),"?"))</f>
        <v/>
      </c>
      <c r="O596" s="38" t="str">
        <f aca="false">IF(A596="","",IF(N596=Settings!$B$17,"No","Yes"))</f>
        <v/>
      </c>
      <c r="P596" s="35" t="n">
        <f aca="false">IF(O596="Yes",ROUND(L596*M596,2),0)</f>
        <v>0</v>
      </c>
      <c r="Q596" s="35" t="n">
        <f aca="false">IF(O596="No",ROUND(L596*M596/2,2),0)</f>
        <v>0</v>
      </c>
      <c r="R596" s="35" t="n">
        <f aca="false">Q596</f>
        <v>0</v>
      </c>
      <c r="S596" s="35" t="n">
        <f aca="false">L596+P596+Q596+R596</f>
        <v>0</v>
      </c>
      <c r="T596" s="34" t="str">
        <f aca="false">IF(A596="","",IFERROR(INDEX(Customers!$B$5:$B$204,MATCH(C596,Customers!$A$5:$A$204,0))&amp;"",""))</f>
        <v/>
      </c>
      <c r="U596" s="38" t="str">
        <f aca="false">IF(A596="","",IF(T596&lt;&gt;"","B2B",IF(AND(O596="Yes",SUMIF($A$5:$A$1004,A596,$L$5:$L$1004)+SUMIF($A$5:$A$1004,A596,$P$5:$P$1004)&gt;100000),"B2CL","B2CS")))</f>
        <v/>
      </c>
      <c r="V596" s="17" t="str">
        <f aca="false">IF(A596="","",TEXT(B596,"mmm-yyyy"))</f>
        <v/>
      </c>
    </row>
    <row r="597" customFormat="false" ht="15" hidden="false" customHeight="true" outlineLevel="0" collapsed="false">
      <c r="A597" s="24"/>
      <c r="B597" s="39"/>
      <c r="C597" s="24"/>
      <c r="D597" s="24"/>
      <c r="E597" s="40"/>
      <c r="F597" s="29"/>
      <c r="G597" s="30"/>
      <c r="H597" s="17" t="str">
        <f aca="false">IF(A597="","",A597&amp;"|"&amp;COUNTIF(A$5:A597,A597))</f>
        <v/>
      </c>
      <c r="I597" s="33" t="str">
        <f aca="false">IF(A597="","",IFERROR(INDEX(Items!$B$5:$B$304,MATCH(D597,Items!$A$5:$A$304,0))&amp;"",""))</f>
        <v/>
      </c>
      <c r="J597" s="34" t="str">
        <f aca="false">IF(A597="","",IFERROR(INDEX(Items!$C$5:$C$304,MATCH(D597,Items!$A$5:$A$304,0))&amp;"",""))</f>
        <v/>
      </c>
      <c r="K597" s="35" t="n">
        <f aca="false">IF(A597="",0,IF(ISNUMBER(F597),F597,IFERROR(INDEX(Items!$D$5:$D$304,MATCH(D597,Items!$A$5:$A$304,0)),0)))</f>
        <v>0</v>
      </c>
      <c r="L597" s="35" t="n">
        <f aca="false">ROUND(N(E597)*K597*(1-N(G597)),2)</f>
        <v>0</v>
      </c>
      <c r="M597" s="36" t="n">
        <f aca="false">IF(A597="",0,IFERROR(INDEX(Items!$E$5:$E$304,MATCH(D597,Items!$A$5:$A$304,0)),0))</f>
        <v>0</v>
      </c>
      <c r="N597" s="37" t="str">
        <f aca="false">IF(A597="","",IFERROR(INDEX(Customers!$E$5:$E$204,MATCH(C597,Customers!$A$5:$A$204,0)),"?"))</f>
        <v/>
      </c>
      <c r="O597" s="38" t="str">
        <f aca="false">IF(A597="","",IF(N597=Settings!$B$17,"No","Yes"))</f>
        <v/>
      </c>
      <c r="P597" s="35" t="n">
        <f aca="false">IF(O597="Yes",ROUND(L597*M597,2),0)</f>
        <v>0</v>
      </c>
      <c r="Q597" s="35" t="n">
        <f aca="false">IF(O597="No",ROUND(L597*M597/2,2),0)</f>
        <v>0</v>
      </c>
      <c r="R597" s="35" t="n">
        <f aca="false">Q597</f>
        <v>0</v>
      </c>
      <c r="S597" s="35" t="n">
        <f aca="false">L597+P597+Q597+R597</f>
        <v>0</v>
      </c>
      <c r="T597" s="34" t="str">
        <f aca="false">IF(A597="","",IFERROR(INDEX(Customers!$B$5:$B$204,MATCH(C597,Customers!$A$5:$A$204,0))&amp;"",""))</f>
        <v/>
      </c>
      <c r="U597" s="38" t="str">
        <f aca="false">IF(A597="","",IF(T597&lt;&gt;"","B2B",IF(AND(O597="Yes",SUMIF($A$5:$A$1004,A597,$L$5:$L$1004)+SUMIF($A$5:$A$1004,A597,$P$5:$P$1004)&gt;100000),"B2CL","B2CS")))</f>
        <v/>
      </c>
      <c r="V597" s="17" t="str">
        <f aca="false">IF(A597="","",TEXT(B597,"mmm-yyyy"))</f>
        <v/>
      </c>
    </row>
    <row r="598" customFormat="false" ht="15" hidden="false" customHeight="true" outlineLevel="0" collapsed="false">
      <c r="A598" s="24"/>
      <c r="B598" s="39"/>
      <c r="C598" s="24"/>
      <c r="D598" s="24"/>
      <c r="E598" s="40"/>
      <c r="F598" s="29"/>
      <c r="G598" s="30"/>
      <c r="H598" s="17" t="str">
        <f aca="false">IF(A598="","",A598&amp;"|"&amp;COUNTIF(A$5:A598,A598))</f>
        <v/>
      </c>
      <c r="I598" s="33" t="str">
        <f aca="false">IF(A598="","",IFERROR(INDEX(Items!$B$5:$B$304,MATCH(D598,Items!$A$5:$A$304,0))&amp;"",""))</f>
        <v/>
      </c>
      <c r="J598" s="34" t="str">
        <f aca="false">IF(A598="","",IFERROR(INDEX(Items!$C$5:$C$304,MATCH(D598,Items!$A$5:$A$304,0))&amp;"",""))</f>
        <v/>
      </c>
      <c r="K598" s="35" t="n">
        <f aca="false">IF(A598="",0,IF(ISNUMBER(F598),F598,IFERROR(INDEX(Items!$D$5:$D$304,MATCH(D598,Items!$A$5:$A$304,0)),0)))</f>
        <v>0</v>
      </c>
      <c r="L598" s="35" t="n">
        <f aca="false">ROUND(N(E598)*K598*(1-N(G598)),2)</f>
        <v>0</v>
      </c>
      <c r="M598" s="36" t="n">
        <f aca="false">IF(A598="",0,IFERROR(INDEX(Items!$E$5:$E$304,MATCH(D598,Items!$A$5:$A$304,0)),0))</f>
        <v>0</v>
      </c>
      <c r="N598" s="37" t="str">
        <f aca="false">IF(A598="","",IFERROR(INDEX(Customers!$E$5:$E$204,MATCH(C598,Customers!$A$5:$A$204,0)),"?"))</f>
        <v/>
      </c>
      <c r="O598" s="38" t="str">
        <f aca="false">IF(A598="","",IF(N598=Settings!$B$17,"No","Yes"))</f>
        <v/>
      </c>
      <c r="P598" s="35" t="n">
        <f aca="false">IF(O598="Yes",ROUND(L598*M598,2),0)</f>
        <v>0</v>
      </c>
      <c r="Q598" s="35" t="n">
        <f aca="false">IF(O598="No",ROUND(L598*M598/2,2),0)</f>
        <v>0</v>
      </c>
      <c r="R598" s="35" t="n">
        <f aca="false">Q598</f>
        <v>0</v>
      </c>
      <c r="S598" s="35" t="n">
        <f aca="false">L598+P598+Q598+R598</f>
        <v>0</v>
      </c>
      <c r="T598" s="34" t="str">
        <f aca="false">IF(A598="","",IFERROR(INDEX(Customers!$B$5:$B$204,MATCH(C598,Customers!$A$5:$A$204,0))&amp;"",""))</f>
        <v/>
      </c>
      <c r="U598" s="38" t="str">
        <f aca="false">IF(A598="","",IF(T598&lt;&gt;"","B2B",IF(AND(O598="Yes",SUMIF($A$5:$A$1004,A598,$L$5:$L$1004)+SUMIF($A$5:$A$1004,A598,$P$5:$P$1004)&gt;100000),"B2CL","B2CS")))</f>
        <v/>
      </c>
      <c r="V598" s="17" t="str">
        <f aca="false">IF(A598="","",TEXT(B598,"mmm-yyyy"))</f>
        <v/>
      </c>
    </row>
    <row r="599" customFormat="false" ht="15" hidden="false" customHeight="true" outlineLevel="0" collapsed="false">
      <c r="A599" s="24"/>
      <c r="B599" s="39"/>
      <c r="C599" s="24"/>
      <c r="D599" s="24"/>
      <c r="E599" s="40"/>
      <c r="F599" s="29"/>
      <c r="G599" s="30"/>
      <c r="H599" s="17" t="str">
        <f aca="false">IF(A599="","",A599&amp;"|"&amp;COUNTIF(A$5:A599,A599))</f>
        <v/>
      </c>
      <c r="I599" s="33" t="str">
        <f aca="false">IF(A599="","",IFERROR(INDEX(Items!$B$5:$B$304,MATCH(D599,Items!$A$5:$A$304,0))&amp;"",""))</f>
        <v/>
      </c>
      <c r="J599" s="34" t="str">
        <f aca="false">IF(A599="","",IFERROR(INDEX(Items!$C$5:$C$304,MATCH(D599,Items!$A$5:$A$304,0))&amp;"",""))</f>
        <v/>
      </c>
      <c r="K599" s="35" t="n">
        <f aca="false">IF(A599="",0,IF(ISNUMBER(F599),F599,IFERROR(INDEX(Items!$D$5:$D$304,MATCH(D599,Items!$A$5:$A$304,0)),0)))</f>
        <v>0</v>
      </c>
      <c r="L599" s="35" t="n">
        <f aca="false">ROUND(N(E599)*K599*(1-N(G599)),2)</f>
        <v>0</v>
      </c>
      <c r="M599" s="36" t="n">
        <f aca="false">IF(A599="",0,IFERROR(INDEX(Items!$E$5:$E$304,MATCH(D599,Items!$A$5:$A$304,0)),0))</f>
        <v>0</v>
      </c>
      <c r="N599" s="37" t="str">
        <f aca="false">IF(A599="","",IFERROR(INDEX(Customers!$E$5:$E$204,MATCH(C599,Customers!$A$5:$A$204,0)),"?"))</f>
        <v/>
      </c>
      <c r="O599" s="38" t="str">
        <f aca="false">IF(A599="","",IF(N599=Settings!$B$17,"No","Yes"))</f>
        <v/>
      </c>
      <c r="P599" s="35" t="n">
        <f aca="false">IF(O599="Yes",ROUND(L599*M599,2),0)</f>
        <v>0</v>
      </c>
      <c r="Q599" s="35" t="n">
        <f aca="false">IF(O599="No",ROUND(L599*M599/2,2),0)</f>
        <v>0</v>
      </c>
      <c r="R599" s="35" t="n">
        <f aca="false">Q599</f>
        <v>0</v>
      </c>
      <c r="S599" s="35" t="n">
        <f aca="false">L599+P599+Q599+R599</f>
        <v>0</v>
      </c>
      <c r="T599" s="34" t="str">
        <f aca="false">IF(A599="","",IFERROR(INDEX(Customers!$B$5:$B$204,MATCH(C599,Customers!$A$5:$A$204,0))&amp;"",""))</f>
        <v/>
      </c>
      <c r="U599" s="38" t="str">
        <f aca="false">IF(A599="","",IF(T599&lt;&gt;"","B2B",IF(AND(O599="Yes",SUMIF($A$5:$A$1004,A599,$L$5:$L$1004)+SUMIF($A$5:$A$1004,A599,$P$5:$P$1004)&gt;100000),"B2CL","B2CS")))</f>
        <v/>
      </c>
      <c r="V599" s="17" t="str">
        <f aca="false">IF(A599="","",TEXT(B599,"mmm-yyyy"))</f>
        <v/>
      </c>
    </row>
    <row r="600" customFormat="false" ht="15" hidden="false" customHeight="true" outlineLevel="0" collapsed="false">
      <c r="A600" s="24"/>
      <c r="B600" s="39"/>
      <c r="C600" s="24"/>
      <c r="D600" s="24"/>
      <c r="E600" s="40"/>
      <c r="F600" s="29"/>
      <c r="G600" s="30"/>
      <c r="H600" s="17" t="str">
        <f aca="false">IF(A600="","",A600&amp;"|"&amp;COUNTIF(A$5:A600,A600))</f>
        <v/>
      </c>
      <c r="I600" s="33" t="str">
        <f aca="false">IF(A600="","",IFERROR(INDEX(Items!$B$5:$B$304,MATCH(D600,Items!$A$5:$A$304,0))&amp;"",""))</f>
        <v/>
      </c>
      <c r="J600" s="34" t="str">
        <f aca="false">IF(A600="","",IFERROR(INDEX(Items!$C$5:$C$304,MATCH(D600,Items!$A$5:$A$304,0))&amp;"",""))</f>
        <v/>
      </c>
      <c r="K600" s="35" t="n">
        <f aca="false">IF(A600="",0,IF(ISNUMBER(F600),F600,IFERROR(INDEX(Items!$D$5:$D$304,MATCH(D600,Items!$A$5:$A$304,0)),0)))</f>
        <v>0</v>
      </c>
      <c r="L600" s="35" t="n">
        <f aca="false">ROUND(N(E600)*K600*(1-N(G600)),2)</f>
        <v>0</v>
      </c>
      <c r="M600" s="36" t="n">
        <f aca="false">IF(A600="",0,IFERROR(INDEX(Items!$E$5:$E$304,MATCH(D600,Items!$A$5:$A$304,0)),0))</f>
        <v>0</v>
      </c>
      <c r="N600" s="37" t="str">
        <f aca="false">IF(A600="","",IFERROR(INDEX(Customers!$E$5:$E$204,MATCH(C600,Customers!$A$5:$A$204,0)),"?"))</f>
        <v/>
      </c>
      <c r="O600" s="38" t="str">
        <f aca="false">IF(A600="","",IF(N600=Settings!$B$17,"No","Yes"))</f>
        <v/>
      </c>
      <c r="P600" s="35" t="n">
        <f aca="false">IF(O600="Yes",ROUND(L600*M600,2),0)</f>
        <v>0</v>
      </c>
      <c r="Q600" s="35" t="n">
        <f aca="false">IF(O600="No",ROUND(L600*M600/2,2),0)</f>
        <v>0</v>
      </c>
      <c r="R600" s="35" t="n">
        <f aca="false">Q600</f>
        <v>0</v>
      </c>
      <c r="S600" s="35" t="n">
        <f aca="false">L600+P600+Q600+R600</f>
        <v>0</v>
      </c>
      <c r="T600" s="34" t="str">
        <f aca="false">IF(A600="","",IFERROR(INDEX(Customers!$B$5:$B$204,MATCH(C600,Customers!$A$5:$A$204,0))&amp;"",""))</f>
        <v/>
      </c>
      <c r="U600" s="38" t="str">
        <f aca="false">IF(A600="","",IF(T600&lt;&gt;"","B2B",IF(AND(O600="Yes",SUMIF($A$5:$A$1004,A600,$L$5:$L$1004)+SUMIF($A$5:$A$1004,A600,$P$5:$P$1004)&gt;100000),"B2CL","B2CS")))</f>
        <v/>
      </c>
      <c r="V600" s="17" t="str">
        <f aca="false">IF(A600="","",TEXT(B600,"mmm-yyyy"))</f>
        <v/>
      </c>
    </row>
    <row r="601" customFormat="false" ht="15" hidden="false" customHeight="true" outlineLevel="0" collapsed="false">
      <c r="A601" s="24"/>
      <c r="B601" s="39"/>
      <c r="C601" s="24"/>
      <c r="D601" s="24"/>
      <c r="E601" s="40"/>
      <c r="F601" s="29"/>
      <c r="G601" s="30"/>
      <c r="H601" s="17" t="str">
        <f aca="false">IF(A601="","",A601&amp;"|"&amp;COUNTIF(A$5:A601,A601))</f>
        <v/>
      </c>
      <c r="I601" s="33" t="str">
        <f aca="false">IF(A601="","",IFERROR(INDEX(Items!$B$5:$B$304,MATCH(D601,Items!$A$5:$A$304,0))&amp;"",""))</f>
        <v/>
      </c>
      <c r="J601" s="34" t="str">
        <f aca="false">IF(A601="","",IFERROR(INDEX(Items!$C$5:$C$304,MATCH(D601,Items!$A$5:$A$304,0))&amp;"",""))</f>
        <v/>
      </c>
      <c r="K601" s="35" t="n">
        <f aca="false">IF(A601="",0,IF(ISNUMBER(F601),F601,IFERROR(INDEX(Items!$D$5:$D$304,MATCH(D601,Items!$A$5:$A$304,0)),0)))</f>
        <v>0</v>
      </c>
      <c r="L601" s="35" t="n">
        <f aca="false">ROUND(N(E601)*K601*(1-N(G601)),2)</f>
        <v>0</v>
      </c>
      <c r="M601" s="36" t="n">
        <f aca="false">IF(A601="",0,IFERROR(INDEX(Items!$E$5:$E$304,MATCH(D601,Items!$A$5:$A$304,0)),0))</f>
        <v>0</v>
      </c>
      <c r="N601" s="37" t="str">
        <f aca="false">IF(A601="","",IFERROR(INDEX(Customers!$E$5:$E$204,MATCH(C601,Customers!$A$5:$A$204,0)),"?"))</f>
        <v/>
      </c>
      <c r="O601" s="38" t="str">
        <f aca="false">IF(A601="","",IF(N601=Settings!$B$17,"No","Yes"))</f>
        <v/>
      </c>
      <c r="P601" s="35" t="n">
        <f aca="false">IF(O601="Yes",ROUND(L601*M601,2),0)</f>
        <v>0</v>
      </c>
      <c r="Q601" s="35" t="n">
        <f aca="false">IF(O601="No",ROUND(L601*M601/2,2),0)</f>
        <v>0</v>
      </c>
      <c r="R601" s="35" t="n">
        <f aca="false">Q601</f>
        <v>0</v>
      </c>
      <c r="S601" s="35" t="n">
        <f aca="false">L601+P601+Q601+R601</f>
        <v>0</v>
      </c>
      <c r="T601" s="34" t="str">
        <f aca="false">IF(A601="","",IFERROR(INDEX(Customers!$B$5:$B$204,MATCH(C601,Customers!$A$5:$A$204,0))&amp;"",""))</f>
        <v/>
      </c>
      <c r="U601" s="38" t="str">
        <f aca="false">IF(A601="","",IF(T601&lt;&gt;"","B2B",IF(AND(O601="Yes",SUMIF($A$5:$A$1004,A601,$L$5:$L$1004)+SUMIF($A$5:$A$1004,A601,$P$5:$P$1004)&gt;100000),"B2CL","B2CS")))</f>
        <v/>
      </c>
      <c r="V601" s="17" t="str">
        <f aca="false">IF(A601="","",TEXT(B601,"mmm-yyyy"))</f>
        <v/>
      </c>
    </row>
    <row r="602" customFormat="false" ht="15" hidden="false" customHeight="true" outlineLevel="0" collapsed="false">
      <c r="A602" s="24"/>
      <c r="B602" s="39"/>
      <c r="C602" s="24"/>
      <c r="D602" s="24"/>
      <c r="E602" s="40"/>
      <c r="F602" s="29"/>
      <c r="G602" s="30"/>
      <c r="H602" s="17" t="str">
        <f aca="false">IF(A602="","",A602&amp;"|"&amp;COUNTIF(A$5:A602,A602))</f>
        <v/>
      </c>
      <c r="I602" s="33" t="str">
        <f aca="false">IF(A602="","",IFERROR(INDEX(Items!$B$5:$B$304,MATCH(D602,Items!$A$5:$A$304,0))&amp;"",""))</f>
        <v/>
      </c>
      <c r="J602" s="34" t="str">
        <f aca="false">IF(A602="","",IFERROR(INDEX(Items!$C$5:$C$304,MATCH(D602,Items!$A$5:$A$304,0))&amp;"",""))</f>
        <v/>
      </c>
      <c r="K602" s="35" t="n">
        <f aca="false">IF(A602="",0,IF(ISNUMBER(F602),F602,IFERROR(INDEX(Items!$D$5:$D$304,MATCH(D602,Items!$A$5:$A$304,0)),0)))</f>
        <v>0</v>
      </c>
      <c r="L602" s="35" t="n">
        <f aca="false">ROUND(N(E602)*K602*(1-N(G602)),2)</f>
        <v>0</v>
      </c>
      <c r="M602" s="36" t="n">
        <f aca="false">IF(A602="",0,IFERROR(INDEX(Items!$E$5:$E$304,MATCH(D602,Items!$A$5:$A$304,0)),0))</f>
        <v>0</v>
      </c>
      <c r="N602" s="37" t="str">
        <f aca="false">IF(A602="","",IFERROR(INDEX(Customers!$E$5:$E$204,MATCH(C602,Customers!$A$5:$A$204,0)),"?"))</f>
        <v/>
      </c>
      <c r="O602" s="38" t="str">
        <f aca="false">IF(A602="","",IF(N602=Settings!$B$17,"No","Yes"))</f>
        <v/>
      </c>
      <c r="P602" s="35" t="n">
        <f aca="false">IF(O602="Yes",ROUND(L602*M602,2),0)</f>
        <v>0</v>
      </c>
      <c r="Q602" s="35" t="n">
        <f aca="false">IF(O602="No",ROUND(L602*M602/2,2),0)</f>
        <v>0</v>
      </c>
      <c r="R602" s="35" t="n">
        <f aca="false">Q602</f>
        <v>0</v>
      </c>
      <c r="S602" s="35" t="n">
        <f aca="false">L602+P602+Q602+R602</f>
        <v>0</v>
      </c>
      <c r="T602" s="34" t="str">
        <f aca="false">IF(A602="","",IFERROR(INDEX(Customers!$B$5:$B$204,MATCH(C602,Customers!$A$5:$A$204,0))&amp;"",""))</f>
        <v/>
      </c>
      <c r="U602" s="38" t="str">
        <f aca="false">IF(A602="","",IF(T602&lt;&gt;"","B2B",IF(AND(O602="Yes",SUMIF($A$5:$A$1004,A602,$L$5:$L$1004)+SUMIF($A$5:$A$1004,A602,$P$5:$P$1004)&gt;100000),"B2CL","B2CS")))</f>
        <v/>
      </c>
      <c r="V602" s="17" t="str">
        <f aca="false">IF(A602="","",TEXT(B602,"mmm-yyyy"))</f>
        <v/>
      </c>
    </row>
    <row r="603" customFormat="false" ht="15" hidden="false" customHeight="true" outlineLevel="0" collapsed="false">
      <c r="A603" s="24"/>
      <c r="B603" s="39"/>
      <c r="C603" s="24"/>
      <c r="D603" s="24"/>
      <c r="E603" s="40"/>
      <c r="F603" s="29"/>
      <c r="G603" s="30"/>
      <c r="H603" s="17" t="str">
        <f aca="false">IF(A603="","",A603&amp;"|"&amp;COUNTIF(A$5:A603,A603))</f>
        <v/>
      </c>
      <c r="I603" s="33" t="str">
        <f aca="false">IF(A603="","",IFERROR(INDEX(Items!$B$5:$B$304,MATCH(D603,Items!$A$5:$A$304,0))&amp;"",""))</f>
        <v/>
      </c>
      <c r="J603" s="34" t="str">
        <f aca="false">IF(A603="","",IFERROR(INDEX(Items!$C$5:$C$304,MATCH(D603,Items!$A$5:$A$304,0))&amp;"",""))</f>
        <v/>
      </c>
      <c r="K603" s="35" t="n">
        <f aca="false">IF(A603="",0,IF(ISNUMBER(F603),F603,IFERROR(INDEX(Items!$D$5:$D$304,MATCH(D603,Items!$A$5:$A$304,0)),0)))</f>
        <v>0</v>
      </c>
      <c r="L603" s="35" t="n">
        <f aca="false">ROUND(N(E603)*K603*(1-N(G603)),2)</f>
        <v>0</v>
      </c>
      <c r="M603" s="36" t="n">
        <f aca="false">IF(A603="",0,IFERROR(INDEX(Items!$E$5:$E$304,MATCH(D603,Items!$A$5:$A$304,0)),0))</f>
        <v>0</v>
      </c>
      <c r="N603" s="37" t="str">
        <f aca="false">IF(A603="","",IFERROR(INDEX(Customers!$E$5:$E$204,MATCH(C603,Customers!$A$5:$A$204,0)),"?"))</f>
        <v/>
      </c>
      <c r="O603" s="38" t="str">
        <f aca="false">IF(A603="","",IF(N603=Settings!$B$17,"No","Yes"))</f>
        <v/>
      </c>
      <c r="P603" s="35" t="n">
        <f aca="false">IF(O603="Yes",ROUND(L603*M603,2),0)</f>
        <v>0</v>
      </c>
      <c r="Q603" s="35" t="n">
        <f aca="false">IF(O603="No",ROUND(L603*M603/2,2),0)</f>
        <v>0</v>
      </c>
      <c r="R603" s="35" t="n">
        <f aca="false">Q603</f>
        <v>0</v>
      </c>
      <c r="S603" s="35" t="n">
        <f aca="false">L603+P603+Q603+R603</f>
        <v>0</v>
      </c>
      <c r="T603" s="34" t="str">
        <f aca="false">IF(A603="","",IFERROR(INDEX(Customers!$B$5:$B$204,MATCH(C603,Customers!$A$5:$A$204,0))&amp;"",""))</f>
        <v/>
      </c>
      <c r="U603" s="38" t="str">
        <f aca="false">IF(A603="","",IF(T603&lt;&gt;"","B2B",IF(AND(O603="Yes",SUMIF($A$5:$A$1004,A603,$L$5:$L$1004)+SUMIF($A$5:$A$1004,A603,$P$5:$P$1004)&gt;100000),"B2CL","B2CS")))</f>
        <v/>
      </c>
      <c r="V603" s="17" t="str">
        <f aca="false">IF(A603="","",TEXT(B603,"mmm-yyyy"))</f>
        <v/>
      </c>
    </row>
    <row r="604" customFormat="false" ht="15" hidden="false" customHeight="true" outlineLevel="0" collapsed="false">
      <c r="A604" s="24"/>
      <c r="B604" s="39"/>
      <c r="C604" s="24"/>
      <c r="D604" s="24"/>
      <c r="E604" s="40"/>
      <c r="F604" s="29"/>
      <c r="G604" s="30"/>
      <c r="H604" s="17" t="str">
        <f aca="false">IF(A604="","",A604&amp;"|"&amp;COUNTIF(A$5:A604,A604))</f>
        <v/>
      </c>
      <c r="I604" s="33" t="str">
        <f aca="false">IF(A604="","",IFERROR(INDEX(Items!$B$5:$B$304,MATCH(D604,Items!$A$5:$A$304,0))&amp;"",""))</f>
        <v/>
      </c>
      <c r="J604" s="34" t="str">
        <f aca="false">IF(A604="","",IFERROR(INDEX(Items!$C$5:$C$304,MATCH(D604,Items!$A$5:$A$304,0))&amp;"",""))</f>
        <v/>
      </c>
      <c r="K604" s="35" t="n">
        <f aca="false">IF(A604="",0,IF(ISNUMBER(F604),F604,IFERROR(INDEX(Items!$D$5:$D$304,MATCH(D604,Items!$A$5:$A$304,0)),0)))</f>
        <v>0</v>
      </c>
      <c r="L604" s="35" t="n">
        <f aca="false">ROUND(N(E604)*K604*(1-N(G604)),2)</f>
        <v>0</v>
      </c>
      <c r="M604" s="36" t="n">
        <f aca="false">IF(A604="",0,IFERROR(INDEX(Items!$E$5:$E$304,MATCH(D604,Items!$A$5:$A$304,0)),0))</f>
        <v>0</v>
      </c>
      <c r="N604" s="37" t="str">
        <f aca="false">IF(A604="","",IFERROR(INDEX(Customers!$E$5:$E$204,MATCH(C604,Customers!$A$5:$A$204,0)),"?"))</f>
        <v/>
      </c>
      <c r="O604" s="38" t="str">
        <f aca="false">IF(A604="","",IF(N604=Settings!$B$17,"No","Yes"))</f>
        <v/>
      </c>
      <c r="P604" s="35" t="n">
        <f aca="false">IF(O604="Yes",ROUND(L604*M604,2),0)</f>
        <v>0</v>
      </c>
      <c r="Q604" s="35" t="n">
        <f aca="false">IF(O604="No",ROUND(L604*M604/2,2),0)</f>
        <v>0</v>
      </c>
      <c r="R604" s="35" t="n">
        <f aca="false">Q604</f>
        <v>0</v>
      </c>
      <c r="S604" s="35" t="n">
        <f aca="false">L604+P604+Q604+R604</f>
        <v>0</v>
      </c>
      <c r="T604" s="34" t="str">
        <f aca="false">IF(A604="","",IFERROR(INDEX(Customers!$B$5:$B$204,MATCH(C604,Customers!$A$5:$A$204,0))&amp;"",""))</f>
        <v/>
      </c>
      <c r="U604" s="38" t="str">
        <f aca="false">IF(A604="","",IF(T604&lt;&gt;"","B2B",IF(AND(O604="Yes",SUMIF($A$5:$A$1004,A604,$L$5:$L$1004)+SUMIF($A$5:$A$1004,A604,$P$5:$P$1004)&gt;100000),"B2CL","B2CS")))</f>
        <v/>
      </c>
      <c r="V604" s="17" t="str">
        <f aca="false">IF(A604="","",TEXT(B604,"mmm-yyyy"))</f>
        <v/>
      </c>
    </row>
    <row r="605" customFormat="false" ht="15" hidden="false" customHeight="true" outlineLevel="0" collapsed="false">
      <c r="A605" s="24"/>
      <c r="B605" s="39"/>
      <c r="C605" s="24"/>
      <c r="D605" s="24"/>
      <c r="E605" s="40"/>
      <c r="F605" s="29"/>
      <c r="G605" s="30"/>
      <c r="H605" s="17" t="str">
        <f aca="false">IF(A605="","",A605&amp;"|"&amp;COUNTIF(A$5:A605,A605))</f>
        <v/>
      </c>
      <c r="I605" s="33" t="str">
        <f aca="false">IF(A605="","",IFERROR(INDEX(Items!$B$5:$B$304,MATCH(D605,Items!$A$5:$A$304,0))&amp;"",""))</f>
        <v/>
      </c>
      <c r="J605" s="34" t="str">
        <f aca="false">IF(A605="","",IFERROR(INDEX(Items!$C$5:$C$304,MATCH(D605,Items!$A$5:$A$304,0))&amp;"",""))</f>
        <v/>
      </c>
      <c r="K605" s="35" t="n">
        <f aca="false">IF(A605="",0,IF(ISNUMBER(F605),F605,IFERROR(INDEX(Items!$D$5:$D$304,MATCH(D605,Items!$A$5:$A$304,0)),0)))</f>
        <v>0</v>
      </c>
      <c r="L605" s="35" t="n">
        <f aca="false">ROUND(N(E605)*K605*(1-N(G605)),2)</f>
        <v>0</v>
      </c>
      <c r="M605" s="36" t="n">
        <f aca="false">IF(A605="",0,IFERROR(INDEX(Items!$E$5:$E$304,MATCH(D605,Items!$A$5:$A$304,0)),0))</f>
        <v>0</v>
      </c>
      <c r="N605" s="37" t="str">
        <f aca="false">IF(A605="","",IFERROR(INDEX(Customers!$E$5:$E$204,MATCH(C605,Customers!$A$5:$A$204,0)),"?"))</f>
        <v/>
      </c>
      <c r="O605" s="38" t="str">
        <f aca="false">IF(A605="","",IF(N605=Settings!$B$17,"No","Yes"))</f>
        <v/>
      </c>
      <c r="P605" s="35" t="n">
        <f aca="false">IF(O605="Yes",ROUND(L605*M605,2),0)</f>
        <v>0</v>
      </c>
      <c r="Q605" s="35" t="n">
        <f aca="false">IF(O605="No",ROUND(L605*M605/2,2),0)</f>
        <v>0</v>
      </c>
      <c r="R605" s="35" t="n">
        <f aca="false">Q605</f>
        <v>0</v>
      </c>
      <c r="S605" s="35" t="n">
        <f aca="false">L605+P605+Q605+R605</f>
        <v>0</v>
      </c>
      <c r="T605" s="34" t="str">
        <f aca="false">IF(A605="","",IFERROR(INDEX(Customers!$B$5:$B$204,MATCH(C605,Customers!$A$5:$A$204,0))&amp;"",""))</f>
        <v/>
      </c>
      <c r="U605" s="38" t="str">
        <f aca="false">IF(A605="","",IF(T605&lt;&gt;"","B2B",IF(AND(O605="Yes",SUMIF($A$5:$A$1004,A605,$L$5:$L$1004)+SUMIF($A$5:$A$1004,A605,$P$5:$P$1004)&gt;100000),"B2CL","B2CS")))</f>
        <v/>
      </c>
      <c r="V605" s="17" t="str">
        <f aca="false">IF(A605="","",TEXT(B605,"mmm-yyyy"))</f>
        <v/>
      </c>
    </row>
    <row r="606" customFormat="false" ht="15" hidden="false" customHeight="true" outlineLevel="0" collapsed="false">
      <c r="A606" s="24"/>
      <c r="B606" s="39"/>
      <c r="C606" s="24"/>
      <c r="D606" s="24"/>
      <c r="E606" s="40"/>
      <c r="F606" s="29"/>
      <c r="G606" s="30"/>
      <c r="H606" s="17" t="str">
        <f aca="false">IF(A606="","",A606&amp;"|"&amp;COUNTIF(A$5:A606,A606))</f>
        <v/>
      </c>
      <c r="I606" s="33" t="str">
        <f aca="false">IF(A606="","",IFERROR(INDEX(Items!$B$5:$B$304,MATCH(D606,Items!$A$5:$A$304,0))&amp;"",""))</f>
        <v/>
      </c>
      <c r="J606" s="34" t="str">
        <f aca="false">IF(A606="","",IFERROR(INDEX(Items!$C$5:$C$304,MATCH(D606,Items!$A$5:$A$304,0))&amp;"",""))</f>
        <v/>
      </c>
      <c r="K606" s="35" t="n">
        <f aca="false">IF(A606="",0,IF(ISNUMBER(F606),F606,IFERROR(INDEX(Items!$D$5:$D$304,MATCH(D606,Items!$A$5:$A$304,0)),0)))</f>
        <v>0</v>
      </c>
      <c r="L606" s="35" t="n">
        <f aca="false">ROUND(N(E606)*K606*(1-N(G606)),2)</f>
        <v>0</v>
      </c>
      <c r="M606" s="36" t="n">
        <f aca="false">IF(A606="",0,IFERROR(INDEX(Items!$E$5:$E$304,MATCH(D606,Items!$A$5:$A$304,0)),0))</f>
        <v>0</v>
      </c>
      <c r="N606" s="37" t="str">
        <f aca="false">IF(A606="","",IFERROR(INDEX(Customers!$E$5:$E$204,MATCH(C606,Customers!$A$5:$A$204,0)),"?"))</f>
        <v/>
      </c>
      <c r="O606" s="38" t="str">
        <f aca="false">IF(A606="","",IF(N606=Settings!$B$17,"No","Yes"))</f>
        <v/>
      </c>
      <c r="P606" s="35" t="n">
        <f aca="false">IF(O606="Yes",ROUND(L606*M606,2),0)</f>
        <v>0</v>
      </c>
      <c r="Q606" s="35" t="n">
        <f aca="false">IF(O606="No",ROUND(L606*M606/2,2),0)</f>
        <v>0</v>
      </c>
      <c r="R606" s="35" t="n">
        <f aca="false">Q606</f>
        <v>0</v>
      </c>
      <c r="S606" s="35" t="n">
        <f aca="false">L606+P606+Q606+R606</f>
        <v>0</v>
      </c>
      <c r="T606" s="34" t="str">
        <f aca="false">IF(A606="","",IFERROR(INDEX(Customers!$B$5:$B$204,MATCH(C606,Customers!$A$5:$A$204,0))&amp;"",""))</f>
        <v/>
      </c>
      <c r="U606" s="38" t="str">
        <f aca="false">IF(A606="","",IF(T606&lt;&gt;"","B2B",IF(AND(O606="Yes",SUMIF($A$5:$A$1004,A606,$L$5:$L$1004)+SUMIF($A$5:$A$1004,A606,$P$5:$P$1004)&gt;100000),"B2CL","B2CS")))</f>
        <v/>
      </c>
      <c r="V606" s="17" t="str">
        <f aca="false">IF(A606="","",TEXT(B606,"mmm-yyyy"))</f>
        <v/>
      </c>
    </row>
    <row r="607" customFormat="false" ht="15" hidden="false" customHeight="true" outlineLevel="0" collapsed="false">
      <c r="A607" s="24"/>
      <c r="B607" s="39"/>
      <c r="C607" s="24"/>
      <c r="D607" s="24"/>
      <c r="E607" s="40"/>
      <c r="F607" s="29"/>
      <c r="G607" s="30"/>
      <c r="H607" s="17" t="str">
        <f aca="false">IF(A607="","",A607&amp;"|"&amp;COUNTIF(A$5:A607,A607))</f>
        <v/>
      </c>
      <c r="I607" s="33" t="str">
        <f aca="false">IF(A607="","",IFERROR(INDEX(Items!$B$5:$B$304,MATCH(D607,Items!$A$5:$A$304,0))&amp;"",""))</f>
        <v/>
      </c>
      <c r="J607" s="34" t="str">
        <f aca="false">IF(A607="","",IFERROR(INDEX(Items!$C$5:$C$304,MATCH(D607,Items!$A$5:$A$304,0))&amp;"",""))</f>
        <v/>
      </c>
      <c r="K607" s="35" t="n">
        <f aca="false">IF(A607="",0,IF(ISNUMBER(F607),F607,IFERROR(INDEX(Items!$D$5:$D$304,MATCH(D607,Items!$A$5:$A$304,0)),0)))</f>
        <v>0</v>
      </c>
      <c r="L607" s="35" t="n">
        <f aca="false">ROUND(N(E607)*K607*(1-N(G607)),2)</f>
        <v>0</v>
      </c>
      <c r="M607" s="36" t="n">
        <f aca="false">IF(A607="",0,IFERROR(INDEX(Items!$E$5:$E$304,MATCH(D607,Items!$A$5:$A$304,0)),0))</f>
        <v>0</v>
      </c>
      <c r="N607" s="37" t="str">
        <f aca="false">IF(A607="","",IFERROR(INDEX(Customers!$E$5:$E$204,MATCH(C607,Customers!$A$5:$A$204,0)),"?"))</f>
        <v/>
      </c>
      <c r="O607" s="38" t="str">
        <f aca="false">IF(A607="","",IF(N607=Settings!$B$17,"No","Yes"))</f>
        <v/>
      </c>
      <c r="P607" s="35" t="n">
        <f aca="false">IF(O607="Yes",ROUND(L607*M607,2),0)</f>
        <v>0</v>
      </c>
      <c r="Q607" s="35" t="n">
        <f aca="false">IF(O607="No",ROUND(L607*M607/2,2),0)</f>
        <v>0</v>
      </c>
      <c r="R607" s="35" t="n">
        <f aca="false">Q607</f>
        <v>0</v>
      </c>
      <c r="S607" s="35" t="n">
        <f aca="false">L607+P607+Q607+R607</f>
        <v>0</v>
      </c>
      <c r="T607" s="34" t="str">
        <f aca="false">IF(A607="","",IFERROR(INDEX(Customers!$B$5:$B$204,MATCH(C607,Customers!$A$5:$A$204,0))&amp;"",""))</f>
        <v/>
      </c>
      <c r="U607" s="38" t="str">
        <f aca="false">IF(A607="","",IF(T607&lt;&gt;"","B2B",IF(AND(O607="Yes",SUMIF($A$5:$A$1004,A607,$L$5:$L$1004)+SUMIF($A$5:$A$1004,A607,$P$5:$P$1004)&gt;100000),"B2CL","B2CS")))</f>
        <v/>
      </c>
      <c r="V607" s="17" t="str">
        <f aca="false">IF(A607="","",TEXT(B607,"mmm-yyyy"))</f>
        <v/>
      </c>
    </row>
    <row r="608" customFormat="false" ht="15" hidden="false" customHeight="true" outlineLevel="0" collapsed="false">
      <c r="A608" s="24"/>
      <c r="B608" s="39"/>
      <c r="C608" s="24"/>
      <c r="D608" s="24"/>
      <c r="E608" s="40"/>
      <c r="F608" s="29"/>
      <c r="G608" s="30"/>
      <c r="H608" s="17" t="str">
        <f aca="false">IF(A608="","",A608&amp;"|"&amp;COUNTIF(A$5:A608,A608))</f>
        <v/>
      </c>
      <c r="I608" s="33" t="str">
        <f aca="false">IF(A608="","",IFERROR(INDEX(Items!$B$5:$B$304,MATCH(D608,Items!$A$5:$A$304,0))&amp;"",""))</f>
        <v/>
      </c>
      <c r="J608" s="34" t="str">
        <f aca="false">IF(A608="","",IFERROR(INDEX(Items!$C$5:$C$304,MATCH(D608,Items!$A$5:$A$304,0))&amp;"",""))</f>
        <v/>
      </c>
      <c r="K608" s="35" t="n">
        <f aca="false">IF(A608="",0,IF(ISNUMBER(F608),F608,IFERROR(INDEX(Items!$D$5:$D$304,MATCH(D608,Items!$A$5:$A$304,0)),0)))</f>
        <v>0</v>
      </c>
      <c r="L608" s="35" t="n">
        <f aca="false">ROUND(N(E608)*K608*(1-N(G608)),2)</f>
        <v>0</v>
      </c>
      <c r="M608" s="36" t="n">
        <f aca="false">IF(A608="",0,IFERROR(INDEX(Items!$E$5:$E$304,MATCH(D608,Items!$A$5:$A$304,0)),0))</f>
        <v>0</v>
      </c>
      <c r="N608" s="37" t="str">
        <f aca="false">IF(A608="","",IFERROR(INDEX(Customers!$E$5:$E$204,MATCH(C608,Customers!$A$5:$A$204,0)),"?"))</f>
        <v/>
      </c>
      <c r="O608" s="38" t="str">
        <f aca="false">IF(A608="","",IF(N608=Settings!$B$17,"No","Yes"))</f>
        <v/>
      </c>
      <c r="P608" s="35" t="n">
        <f aca="false">IF(O608="Yes",ROUND(L608*M608,2),0)</f>
        <v>0</v>
      </c>
      <c r="Q608" s="35" t="n">
        <f aca="false">IF(O608="No",ROUND(L608*M608/2,2),0)</f>
        <v>0</v>
      </c>
      <c r="R608" s="35" t="n">
        <f aca="false">Q608</f>
        <v>0</v>
      </c>
      <c r="S608" s="35" t="n">
        <f aca="false">L608+P608+Q608+R608</f>
        <v>0</v>
      </c>
      <c r="T608" s="34" t="str">
        <f aca="false">IF(A608="","",IFERROR(INDEX(Customers!$B$5:$B$204,MATCH(C608,Customers!$A$5:$A$204,0))&amp;"",""))</f>
        <v/>
      </c>
      <c r="U608" s="38" t="str">
        <f aca="false">IF(A608="","",IF(T608&lt;&gt;"","B2B",IF(AND(O608="Yes",SUMIF($A$5:$A$1004,A608,$L$5:$L$1004)+SUMIF($A$5:$A$1004,A608,$P$5:$P$1004)&gt;100000),"B2CL","B2CS")))</f>
        <v/>
      </c>
      <c r="V608" s="17" t="str">
        <f aca="false">IF(A608="","",TEXT(B608,"mmm-yyyy"))</f>
        <v/>
      </c>
    </row>
    <row r="609" customFormat="false" ht="15" hidden="false" customHeight="true" outlineLevel="0" collapsed="false">
      <c r="A609" s="24"/>
      <c r="B609" s="39"/>
      <c r="C609" s="24"/>
      <c r="D609" s="24"/>
      <c r="E609" s="40"/>
      <c r="F609" s="29"/>
      <c r="G609" s="30"/>
      <c r="H609" s="17" t="str">
        <f aca="false">IF(A609="","",A609&amp;"|"&amp;COUNTIF(A$5:A609,A609))</f>
        <v/>
      </c>
      <c r="I609" s="33" t="str">
        <f aca="false">IF(A609="","",IFERROR(INDEX(Items!$B$5:$B$304,MATCH(D609,Items!$A$5:$A$304,0))&amp;"",""))</f>
        <v/>
      </c>
      <c r="J609" s="34" t="str">
        <f aca="false">IF(A609="","",IFERROR(INDEX(Items!$C$5:$C$304,MATCH(D609,Items!$A$5:$A$304,0))&amp;"",""))</f>
        <v/>
      </c>
      <c r="K609" s="35" t="n">
        <f aca="false">IF(A609="",0,IF(ISNUMBER(F609),F609,IFERROR(INDEX(Items!$D$5:$D$304,MATCH(D609,Items!$A$5:$A$304,0)),0)))</f>
        <v>0</v>
      </c>
      <c r="L609" s="35" t="n">
        <f aca="false">ROUND(N(E609)*K609*(1-N(G609)),2)</f>
        <v>0</v>
      </c>
      <c r="M609" s="36" t="n">
        <f aca="false">IF(A609="",0,IFERROR(INDEX(Items!$E$5:$E$304,MATCH(D609,Items!$A$5:$A$304,0)),0))</f>
        <v>0</v>
      </c>
      <c r="N609" s="37" t="str">
        <f aca="false">IF(A609="","",IFERROR(INDEX(Customers!$E$5:$E$204,MATCH(C609,Customers!$A$5:$A$204,0)),"?"))</f>
        <v/>
      </c>
      <c r="O609" s="38" t="str">
        <f aca="false">IF(A609="","",IF(N609=Settings!$B$17,"No","Yes"))</f>
        <v/>
      </c>
      <c r="P609" s="35" t="n">
        <f aca="false">IF(O609="Yes",ROUND(L609*M609,2),0)</f>
        <v>0</v>
      </c>
      <c r="Q609" s="35" t="n">
        <f aca="false">IF(O609="No",ROUND(L609*M609/2,2),0)</f>
        <v>0</v>
      </c>
      <c r="R609" s="35" t="n">
        <f aca="false">Q609</f>
        <v>0</v>
      </c>
      <c r="S609" s="35" t="n">
        <f aca="false">L609+P609+Q609+R609</f>
        <v>0</v>
      </c>
      <c r="T609" s="34" t="str">
        <f aca="false">IF(A609="","",IFERROR(INDEX(Customers!$B$5:$B$204,MATCH(C609,Customers!$A$5:$A$204,0))&amp;"",""))</f>
        <v/>
      </c>
      <c r="U609" s="38" t="str">
        <f aca="false">IF(A609="","",IF(T609&lt;&gt;"","B2B",IF(AND(O609="Yes",SUMIF($A$5:$A$1004,A609,$L$5:$L$1004)+SUMIF($A$5:$A$1004,A609,$P$5:$P$1004)&gt;100000),"B2CL","B2CS")))</f>
        <v/>
      </c>
      <c r="V609" s="17" t="str">
        <f aca="false">IF(A609="","",TEXT(B609,"mmm-yyyy"))</f>
        <v/>
      </c>
    </row>
    <row r="610" customFormat="false" ht="15" hidden="false" customHeight="true" outlineLevel="0" collapsed="false">
      <c r="A610" s="24"/>
      <c r="B610" s="39"/>
      <c r="C610" s="24"/>
      <c r="D610" s="24"/>
      <c r="E610" s="40"/>
      <c r="F610" s="29"/>
      <c r="G610" s="30"/>
      <c r="H610" s="17" t="str">
        <f aca="false">IF(A610="","",A610&amp;"|"&amp;COUNTIF(A$5:A610,A610))</f>
        <v/>
      </c>
      <c r="I610" s="33" t="str">
        <f aca="false">IF(A610="","",IFERROR(INDEX(Items!$B$5:$B$304,MATCH(D610,Items!$A$5:$A$304,0))&amp;"",""))</f>
        <v/>
      </c>
      <c r="J610" s="34" t="str">
        <f aca="false">IF(A610="","",IFERROR(INDEX(Items!$C$5:$C$304,MATCH(D610,Items!$A$5:$A$304,0))&amp;"",""))</f>
        <v/>
      </c>
      <c r="K610" s="35" t="n">
        <f aca="false">IF(A610="",0,IF(ISNUMBER(F610),F610,IFERROR(INDEX(Items!$D$5:$D$304,MATCH(D610,Items!$A$5:$A$304,0)),0)))</f>
        <v>0</v>
      </c>
      <c r="L610" s="35" t="n">
        <f aca="false">ROUND(N(E610)*K610*(1-N(G610)),2)</f>
        <v>0</v>
      </c>
      <c r="M610" s="36" t="n">
        <f aca="false">IF(A610="",0,IFERROR(INDEX(Items!$E$5:$E$304,MATCH(D610,Items!$A$5:$A$304,0)),0))</f>
        <v>0</v>
      </c>
      <c r="N610" s="37" t="str">
        <f aca="false">IF(A610="","",IFERROR(INDEX(Customers!$E$5:$E$204,MATCH(C610,Customers!$A$5:$A$204,0)),"?"))</f>
        <v/>
      </c>
      <c r="O610" s="38" t="str">
        <f aca="false">IF(A610="","",IF(N610=Settings!$B$17,"No","Yes"))</f>
        <v/>
      </c>
      <c r="P610" s="35" t="n">
        <f aca="false">IF(O610="Yes",ROUND(L610*M610,2),0)</f>
        <v>0</v>
      </c>
      <c r="Q610" s="35" t="n">
        <f aca="false">IF(O610="No",ROUND(L610*M610/2,2),0)</f>
        <v>0</v>
      </c>
      <c r="R610" s="35" t="n">
        <f aca="false">Q610</f>
        <v>0</v>
      </c>
      <c r="S610" s="35" t="n">
        <f aca="false">L610+P610+Q610+R610</f>
        <v>0</v>
      </c>
      <c r="T610" s="34" t="str">
        <f aca="false">IF(A610="","",IFERROR(INDEX(Customers!$B$5:$B$204,MATCH(C610,Customers!$A$5:$A$204,0))&amp;"",""))</f>
        <v/>
      </c>
      <c r="U610" s="38" t="str">
        <f aca="false">IF(A610="","",IF(T610&lt;&gt;"","B2B",IF(AND(O610="Yes",SUMIF($A$5:$A$1004,A610,$L$5:$L$1004)+SUMIF($A$5:$A$1004,A610,$P$5:$P$1004)&gt;100000),"B2CL","B2CS")))</f>
        <v/>
      </c>
      <c r="V610" s="17" t="str">
        <f aca="false">IF(A610="","",TEXT(B610,"mmm-yyyy"))</f>
        <v/>
      </c>
    </row>
    <row r="611" customFormat="false" ht="15" hidden="false" customHeight="true" outlineLevel="0" collapsed="false">
      <c r="A611" s="24"/>
      <c r="B611" s="39"/>
      <c r="C611" s="24"/>
      <c r="D611" s="24"/>
      <c r="E611" s="40"/>
      <c r="F611" s="29"/>
      <c r="G611" s="30"/>
      <c r="H611" s="17" t="str">
        <f aca="false">IF(A611="","",A611&amp;"|"&amp;COUNTIF(A$5:A611,A611))</f>
        <v/>
      </c>
      <c r="I611" s="33" t="str">
        <f aca="false">IF(A611="","",IFERROR(INDEX(Items!$B$5:$B$304,MATCH(D611,Items!$A$5:$A$304,0))&amp;"",""))</f>
        <v/>
      </c>
      <c r="J611" s="34" t="str">
        <f aca="false">IF(A611="","",IFERROR(INDEX(Items!$C$5:$C$304,MATCH(D611,Items!$A$5:$A$304,0))&amp;"",""))</f>
        <v/>
      </c>
      <c r="K611" s="35" t="n">
        <f aca="false">IF(A611="",0,IF(ISNUMBER(F611),F611,IFERROR(INDEX(Items!$D$5:$D$304,MATCH(D611,Items!$A$5:$A$304,0)),0)))</f>
        <v>0</v>
      </c>
      <c r="L611" s="35" t="n">
        <f aca="false">ROUND(N(E611)*K611*(1-N(G611)),2)</f>
        <v>0</v>
      </c>
      <c r="M611" s="36" t="n">
        <f aca="false">IF(A611="",0,IFERROR(INDEX(Items!$E$5:$E$304,MATCH(D611,Items!$A$5:$A$304,0)),0))</f>
        <v>0</v>
      </c>
      <c r="N611" s="37" t="str">
        <f aca="false">IF(A611="","",IFERROR(INDEX(Customers!$E$5:$E$204,MATCH(C611,Customers!$A$5:$A$204,0)),"?"))</f>
        <v/>
      </c>
      <c r="O611" s="38" t="str">
        <f aca="false">IF(A611="","",IF(N611=Settings!$B$17,"No","Yes"))</f>
        <v/>
      </c>
      <c r="P611" s="35" t="n">
        <f aca="false">IF(O611="Yes",ROUND(L611*M611,2),0)</f>
        <v>0</v>
      </c>
      <c r="Q611" s="35" t="n">
        <f aca="false">IF(O611="No",ROUND(L611*M611/2,2),0)</f>
        <v>0</v>
      </c>
      <c r="R611" s="35" t="n">
        <f aca="false">Q611</f>
        <v>0</v>
      </c>
      <c r="S611" s="35" t="n">
        <f aca="false">L611+P611+Q611+R611</f>
        <v>0</v>
      </c>
      <c r="T611" s="34" t="str">
        <f aca="false">IF(A611="","",IFERROR(INDEX(Customers!$B$5:$B$204,MATCH(C611,Customers!$A$5:$A$204,0))&amp;"",""))</f>
        <v/>
      </c>
      <c r="U611" s="38" t="str">
        <f aca="false">IF(A611="","",IF(T611&lt;&gt;"","B2B",IF(AND(O611="Yes",SUMIF($A$5:$A$1004,A611,$L$5:$L$1004)+SUMIF($A$5:$A$1004,A611,$P$5:$P$1004)&gt;100000),"B2CL","B2CS")))</f>
        <v/>
      </c>
      <c r="V611" s="17" t="str">
        <f aca="false">IF(A611="","",TEXT(B611,"mmm-yyyy"))</f>
        <v/>
      </c>
    </row>
    <row r="612" customFormat="false" ht="15" hidden="false" customHeight="true" outlineLevel="0" collapsed="false">
      <c r="A612" s="24"/>
      <c r="B612" s="39"/>
      <c r="C612" s="24"/>
      <c r="D612" s="24"/>
      <c r="E612" s="40"/>
      <c r="F612" s="29"/>
      <c r="G612" s="30"/>
      <c r="H612" s="17" t="str">
        <f aca="false">IF(A612="","",A612&amp;"|"&amp;COUNTIF(A$5:A612,A612))</f>
        <v/>
      </c>
      <c r="I612" s="33" t="str">
        <f aca="false">IF(A612="","",IFERROR(INDEX(Items!$B$5:$B$304,MATCH(D612,Items!$A$5:$A$304,0))&amp;"",""))</f>
        <v/>
      </c>
      <c r="J612" s="34" t="str">
        <f aca="false">IF(A612="","",IFERROR(INDEX(Items!$C$5:$C$304,MATCH(D612,Items!$A$5:$A$304,0))&amp;"",""))</f>
        <v/>
      </c>
      <c r="K612" s="35" t="n">
        <f aca="false">IF(A612="",0,IF(ISNUMBER(F612),F612,IFERROR(INDEX(Items!$D$5:$D$304,MATCH(D612,Items!$A$5:$A$304,0)),0)))</f>
        <v>0</v>
      </c>
      <c r="L612" s="35" t="n">
        <f aca="false">ROUND(N(E612)*K612*(1-N(G612)),2)</f>
        <v>0</v>
      </c>
      <c r="M612" s="36" t="n">
        <f aca="false">IF(A612="",0,IFERROR(INDEX(Items!$E$5:$E$304,MATCH(D612,Items!$A$5:$A$304,0)),0))</f>
        <v>0</v>
      </c>
      <c r="N612" s="37" t="str">
        <f aca="false">IF(A612="","",IFERROR(INDEX(Customers!$E$5:$E$204,MATCH(C612,Customers!$A$5:$A$204,0)),"?"))</f>
        <v/>
      </c>
      <c r="O612" s="38" t="str">
        <f aca="false">IF(A612="","",IF(N612=Settings!$B$17,"No","Yes"))</f>
        <v/>
      </c>
      <c r="P612" s="35" t="n">
        <f aca="false">IF(O612="Yes",ROUND(L612*M612,2),0)</f>
        <v>0</v>
      </c>
      <c r="Q612" s="35" t="n">
        <f aca="false">IF(O612="No",ROUND(L612*M612/2,2),0)</f>
        <v>0</v>
      </c>
      <c r="R612" s="35" t="n">
        <f aca="false">Q612</f>
        <v>0</v>
      </c>
      <c r="S612" s="35" t="n">
        <f aca="false">L612+P612+Q612+R612</f>
        <v>0</v>
      </c>
      <c r="T612" s="34" t="str">
        <f aca="false">IF(A612="","",IFERROR(INDEX(Customers!$B$5:$B$204,MATCH(C612,Customers!$A$5:$A$204,0))&amp;"",""))</f>
        <v/>
      </c>
      <c r="U612" s="38" t="str">
        <f aca="false">IF(A612="","",IF(T612&lt;&gt;"","B2B",IF(AND(O612="Yes",SUMIF($A$5:$A$1004,A612,$L$5:$L$1004)+SUMIF($A$5:$A$1004,A612,$P$5:$P$1004)&gt;100000),"B2CL","B2CS")))</f>
        <v/>
      </c>
      <c r="V612" s="17" t="str">
        <f aca="false">IF(A612="","",TEXT(B612,"mmm-yyyy"))</f>
        <v/>
      </c>
    </row>
    <row r="613" customFormat="false" ht="15" hidden="false" customHeight="true" outlineLevel="0" collapsed="false">
      <c r="A613" s="24"/>
      <c r="B613" s="39"/>
      <c r="C613" s="24"/>
      <c r="D613" s="24"/>
      <c r="E613" s="40"/>
      <c r="F613" s="29"/>
      <c r="G613" s="30"/>
      <c r="H613" s="17" t="str">
        <f aca="false">IF(A613="","",A613&amp;"|"&amp;COUNTIF(A$5:A613,A613))</f>
        <v/>
      </c>
      <c r="I613" s="33" t="str">
        <f aca="false">IF(A613="","",IFERROR(INDEX(Items!$B$5:$B$304,MATCH(D613,Items!$A$5:$A$304,0))&amp;"",""))</f>
        <v/>
      </c>
      <c r="J613" s="34" t="str">
        <f aca="false">IF(A613="","",IFERROR(INDEX(Items!$C$5:$C$304,MATCH(D613,Items!$A$5:$A$304,0))&amp;"",""))</f>
        <v/>
      </c>
      <c r="K613" s="35" t="n">
        <f aca="false">IF(A613="",0,IF(ISNUMBER(F613),F613,IFERROR(INDEX(Items!$D$5:$D$304,MATCH(D613,Items!$A$5:$A$304,0)),0)))</f>
        <v>0</v>
      </c>
      <c r="L613" s="35" t="n">
        <f aca="false">ROUND(N(E613)*K613*(1-N(G613)),2)</f>
        <v>0</v>
      </c>
      <c r="M613" s="36" t="n">
        <f aca="false">IF(A613="",0,IFERROR(INDEX(Items!$E$5:$E$304,MATCH(D613,Items!$A$5:$A$304,0)),0))</f>
        <v>0</v>
      </c>
      <c r="N613" s="37" t="str">
        <f aca="false">IF(A613="","",IFERROR(INDEX(Customers!$E$5:$E$204,MATCH(C613,Customers!$A$5:$A$204,0)),"?"))</f>
        <v/>
      </c>
      <c r="O613" s="38" t="str">
        <f aca="false">IF(A613="","",IF(N613=Settings!$B$17,"No","Yes"))</f>
        <v/>
      </c>
      <c r="P613" s="35" t="n">
        <f aca="false">IF(O613="Yes",ROUND(L613*M613,2),0)</f>
        <v>0</v>
      </c>
      <c r="Q613" s="35" t="n">
        <f aca="false">IF(O613="No",ROUND(L613*M613/2,2),0)</f>
        <v>0</v>
      </c>
      <c r="R613" s="35" t="n">
        <f aca="false">Q613</f>
        <v>0</v>
      </c>
      <c r="S613" s="35" t="n">
        <f aca="false">L613+P613+Q613+R613</f>
        <v>0</v>
      </c>
      <c r="T613" s="34" t="str">
        <f aca="false">IF(A613="","",IFERROR(INDEX(Customers!$B$5:$B$204,MATCH(C613,Customers!$A$5:$A$204,0))&amp;"",""))</f>
        <v/>
      </c>
      <c r="U613" s="38" t="str">
        <f aca="false">IF(A613="","",IF(T613&lt;&gt;"","B2B",IF(AND(O613="Yes",SUMIF($A$5:$A$1004,A613,$L$5:$L$1004)+SUMIF($A$5:$A$1004,A613,$P$5:$P$1004)&gt;100000),"B2CL","B2CS")))</f>
        <v/>
      </c>
      <c r="V613" s="17" t="str">
        <f aca="false">IF(A613="","",TEXT(B613,"mmm-yyyy"))</f>
        <v/>
      </c>
    </row>
    <row r="614" customFormat="false" ht="15" hidden="false" customHeight="true" outlineLevel="0" collapsed="false">
      <c r="A614" s="24"/>
      <c r="B614" s="39"/>
      <c r="C614" s="24"/>
      <c r="D614" s="24"/>
      <c r="E614" s="40"/>
      <c r="F614" s="29"/>
      <c r="G614" s="30"/>
      <c r="H614" s="17" t="str">
        <f aca="false">IF(A614="","",A614&amp;"|"&amp;COUNTIF(A$5:A614,A614))</f>
        <v/>
      </c>
      <c r="I614" s="33" t="str">
        <f aca="false">IF(A614="","",IFERROR(INDEX(Items!$B$5:$B$304,MATCH(D614,Items!$A$5:$A$304,0))&amp;"",""))</f>
        <v/>
      </c>
      <c r="J614" s="34" t="str">
        <f aca="false">IF(A614="","",IFERROR(INDEX(Items!$C$5:$C$304,MATCH(D614,Items!$A$5:$A$304,0))&amp;"",""))</f>
        <v/>
      </c>
      <c r="K614" s="35" t="n">
        <f aca="false">IF(A614="",0,IF(ISNUMBER(F614),F614,IFERROR(INDEX(Items!$D$5:$D$304,MATCH(D614,Items!$A$5:$A$304,0)),0)))</f>
        <v>0</v>
      </c>
      <c r="L614" s="35" t="n">
        <f aca="false">ROUND(N(E614)*K614*(1-N(G614)),2)</f>
        <v>0</v>
      </c>
      <c r="M614" s="36" t="n">
        <f aca="false">IF(A614="",0,IFERROR(INDEX(Items!$E$5:$E$304,MATCH(D614,Items!$A$5:$A$304,0)),0))</f>
        <v>0</v>
      </c>
      <c r="N614" s="37" t="str">
        <f aca="false">IF(A614="","",IFERROR(INDEX(Customers!$E$5:$E$204,MATCH(C614,Customers!$A$5:$A$204,0)),"?"))</f>
        <v/>
      </c>
      <c r="O614" s="38" t="str">
        <f aca="false">IF(A614="","",IF(N614=Settings!$B$17,"No","Yes"))</f>
        <v/>
      </c>
      <c r="P614" s="35" t="n">
        <f aca="false">IF(O614="Yes",ROUND(L614*M614,2),0)</f>
        <v>0</v>
      </c>
      <c r="Q614" s="35" t="n">
        <f aca="false">IF(O614="No",ROUND(L614*M614/2,2),0)</f>
        <v>0</v>
      </c>
      <c r="R614" s="35" t="n">
        <f aca="false">Q614</f>
        <v>0</v>
      </c>
      <c r="S614" s="35" t="n">
        <f aca="false">L614+P614+Q614+R614</f>
        <v>0</v>
      </c>
      <c r="T614" s="34" t="str">
        <f aca="false">IF(A614="","",IFERROR(INDEX(Customers!$B$5:$B$204,MATCH(C614,Customers!$A$5:$A$204,0))&amp;"",""))</f>
        <v/>
      </c>
      <c r="U614" s="38" t="str">
        <f aca="false">IF(A614="","",IF(T614&lt;&gt;"","B2B",IF(AND(O614="Yes",SUMIF($A$5:$A$1004,A614,$L$5:$L$1004)+SUMIF($A$5:$A$1004,A614,$P$5:$P$1004)&gt;100000),"B2CL","B2CS")))</f>
        <v/>
      </c>
      <c r="V614" s="17" t="str">
        <f aca="false">IF(A614="","",TEXT(B614,"mmm-yyyy"))</f>
        <v/>
      </c>
    </row>
    <row r="615" customFormat="false" ht="15" hidden="false" customHeight="true" outlineLevel="0" collapsed="false">
      <c r="A615" s="24"/>
      <c r="B615" s="39"/>
      <c r="C615" s="24"/>
      <c r="D615" s="24"/>
      <c r="E615" s="40"/>
      <c r="F615" s="29"/>
      <c r="G615" s="30"/>
      <c r="H615" s="17" t="str">
        <f aca="false">IF(A615="","",A615&amp;"|"&amp;COUNTIF(A$5:A615,A615))</f>
        <v/>
      </c>
      <c r="I615" s="33" t="str">
        <f aca="false">IF(A615="","",IFERROR(INDEX(Items!$B$5:$B$304,MATCH(D615,Items!$A$5:$A$304,0))&amp;"",""))</f>
        <v/>
      </c>
      <c r="J615" s="34" t="str">
        <f aca="false">IF(A615="","",IFERROR(INDEX(Items!$C$5:$C$304,MATCH(D615,Items!$A$5:$A$304,0))&amp;"",""))</f>
        <v/>
      </c>
      <c r="K615" s="35" t="n">
        <f aca="false">IF(A615="",0,IF(ISNUMBER(F615),F615,IFERROR(INDEX(Items!$D$5:$D$304,MATCH(D615,Items!$A$5:$A$304,0)),0)))</f>
        <v>0</v>
      </c>
      <c r="L615" s="35" t="n">
        <f aca="false">ROUND(N(E615)*K615*(1-N(G615)),2)</f>
        <v>0</v>
      </c>
      <c r="M615" s="36" t="n">
        <f aca="false">IF(A615="",0,IFERROR(INDEX(Items!$E$5:$E$304,MATCH(D615,Items!$A$5:$A$304,0)),0))</f>
        <v>0</v>
      </c>
      <c r="N615" s="37" t="str">
        <f aca="false">IF(A615="","",IFERROR(INDEX(Customers!$E$5:$E$204,MATCH(C615,Customers!$A$5:$A$204,0)),"?"))</f>
        <v/>
      </c>
      <c r="O615" s="38" t="str">
        <f aca="false">IF(A615="","",IF(N615=Settings!$B$17,"No","Yes"))</f>
        <v/>
      </c>
      <c r="P615" s="35" t="n">
        <f aca="false">IF(O615="Yes",ROUND(L615*M615,2),0)</f>
        <v>0</v>
      </c>
      <c r="Q615" s="35" t="n">
        <f aca="false">IF(O615="No",ROUND(L615*M615/2,2),0)</f>
        <v>0</v>
      </c>
      <c r="R615" s="35" t="n">
        <f aca="false">Q615</f>
        <v>0</v>
      </c>
      <c r="S615" s="35" t="n">
        <f aca="false">L615+P615+Q615+R615</f>
        <v>0</v>
      </c>
      <c r="T615" s="34" t="str">
        <f aca="false">IF(A615="","",IFERROR(INDEX(Customers!$B$5:$B$204,MATCH(C615,Customers!$A$5:$A$204,0))&amp;"",""))</f>
        <v/>
      </c>
      <c r="U615" s="38" t="str">
        <f aca="false">IF(A615="","",IF(T615&lt;&gt;"","B2B",IF(AND(O615="Yes",SUMIF($A$5:$A$1004,A615,$L$5:$L$1004)+SUMIF($A$5:$A$1004,A615,$P$5:$P$1004)&gt;100000),"B2CL","B2CS")))</f>
        <v/>
      </c>
      <c r="V615" s="17" t="str">
        <f aca="false">IF(A615="","",TEXT(B615,"mmm-yyyy"))</f>
        <v/>
      </c>
    </row>
    <row r="616" customFormat="false" ht="15" hidden="false" customHeight="true" outlineLevel="0" collapsed="false">
      <c r="A616" s="24"/>
      <c r="B616" s="39"/>
      <c r="C616" s="24"/>
      <c r="D616" s="24"/>
      <c r="E616" s="40"/>
      <c r="F616" s="29"/>
      <c r="G616" s="30"/>
      <c r="H616" s="17" t="str">
        <f aca="false">IF(A616="","",A616&amp;"|"&amp;COUNTIF(A$5:A616,A616))</f>
        <v/>
      </c>
      <c r="I616" s="33" t="str">
        <f aca="false">IF(A616="","",IFERROR(INDEX(Items!$B$5:$B$304,MATCH(D616,Items!$A$5:$A$304,0))&amp;"",""))</f>
        <v/>
      </c>
      <c r="J616" s="34" t="str">
        <f aca="false">IF(A616="","",IFERROR(INDEX(Items!$C$5:$C$304,MATCH(D616,Items!$A$5:$A$304,0))&amp;"",""))</f>
        <v/>
      </c>
      <c r="K616" s="35" t="n">
        <f aca="false">IF(A616="",0,IF(ISNUMBER(F616),F616,IFERROR(INDEX(Items!$D$5:$D$304,MATCH(D616,Items!$A$5:$A$304,0)),0)))</f>
        <v>0</v>
      </c>
      <c r="L616" s="35" t="n">
        <f aca="false">ROUND(N(E616)*K616*(1-N(G616)),2)</f>
        <v>0</v>
      </c>
      <c r="M616" s="36" t="n">
        <f aca="false">IF(A616="",0,IFERROR(INDEX(Items!$E$5:$E$304,MATCH(D616,Items!$A$5:$A$304,0)),0))</f>
        <v>0</v>
      </c>
      <c r="N616" s="37" t="str">
        <f aca="false">IF(A616="","",IFERROR(INDEX(Customers!$E$5:$E$204,MATCH(C616,Customers!$A$5:$A$204,0)),"?"))</f>
        <v/>
      </c>
      <c r="O616" s="38" t="str">
        <f aca="false">IF(A616="","",IF(N616=Settings!$B$17,"No","Yes"))</f>
        <v/>
      </c>
      <c r="P616" s="35" t="n">
        <f aca="false">IF(O616="Yes",ROUND(L616*M616,2),0)</f>
        <v>0</v>
      </c>
      <c r="Q616" s="35" t="n">
        <f aca="false">IF(O616="No",ROUND(L616*M616/2,2),0)</f>
        <v>0</v>
      </c>
      <c r="R616" s="35" t="n">
        <f aca="false">Q616</f>
        <v>0</v>
      </c>
      <c r="S616" s="35" t="n">
        <f aca="false">L616+P616+Q616+R616</f>
        <v>0</v>
      </c>
      <c r="T616" s="34" t="str">
        <f aca="false">IF(A616="","",IFERROR(INDEX(Customers!$B$5:$B$204,MATCH(C616,Customers!$A$5:$A$204,0))&amp;"",""))</f>
        <v/>
      </c>
      <c r="U616" s="38" t="str">
        <f aca="false">IF(A616="","",IF(T616&lt;&gt;"","B2B",IF(AND(O616="Yes",SUMIF($A$5:$A$1004,A616,$L$5:$L$1004)+SUMIF($A$5:$A$1004,A616,$P$5:$P$1004)&gt;100000),"B2CL","B2CS")))</f>
        <v/>
      </c>
      <c r="V616" s="17" t="str">
        <f aca="false">IF(A616="","",TEXT(B616,"mmm-yyyy"))</f>
        <v/>
      </c>
    </row>
    <row r="617" customFormat="false" ht="15" hidden="false" customHeight="true" outlineLevel="0" collapsed="false">
      <c r="A617" s="24"/>
      <c r="B617" s="39"/>
      <c r="C617" s="24"/>
      <c r="D617" s="24"/>
      <c r="E617" s="40"/>
      <c r="F617" s="29"/>
      <c r="G617" s="30"/>
      <c r="H617" s="17" t="str">
        <f aca="false">IF(A617="","",A617&amp;"|"&amp;COUNTIF(A$5:A617,A617))</f>
        <v/>
      </c>
      <c r="I617" s="33" t="str">
        <f aca="false">IF(A617="","",IFERROR(INDEX(Items!$B$5:$B$304,MATCH(D617,Items!$A$5:$A$304,0))&amp;"",""))</f>
        <v/>
      </c>
      <c r="J617" s="34" t="str">
        <f aca="false">IF(A617="","",IFERROR(INDEX(Items!$C$5:$C$304,MATCH(D617,Items!$A$5:$A$304,0))&amp;"",""))</f>
        <v/>
      </c>
      <c r="K617" s="35" t="n">
        <f aca="false">IF(A617="",0,IF(ISNUMBER(F617),F617,IFERROR(INDEX(Items!$D$5:$D$304,MATCH(D617,Items!$A$5:$A$304,0)),0)))</f>
        <v>0</v>
      </c>
      <c r="L617" s="35" t="n">
        <f aca="false">ROUND(N(E617)*K617*(1-N(G617)),2)</f>
        <v>0</v>
      </c>
      <c r="M617" s="36" t="n">
        <f aca="false">IF(A617="",0,IFERROR(INDEX(Items!$E$5:$E$304,MATCH(D617,Items!$A$5:$A$304,0)),0))</f>
        <v>0</v>
      </c>
      <c r="N617" s="37" t="str">
        <f aca="false">IF(A617="","",IFERROR(INDEX(Customers!$E$5:$E$204,MATCH(C617,Customers!$A$5:$A$204,0)),"?"))</f>
        <v/>
      </c>
      <c r="O617" s="38" t="str">
        <f aca="false">IF(A617="","",IF(N617=Settings!$B$17,"No","Yes"))</f>
        <v/>
      </c>
      <c r="P617" s="35" t="n">
        <f aca="false">IF(O617="Yes",ROUND(L617*M617,2),0)</f>
        <v>0</v>
      </c>
      <c r="Q617" s="35" t="n">
        <f aca="false">IF(O617="No",ROUND(L617*M617/2,2),0)</f>
        <v>0</v>
      </c>
      <c r="R617" s="35" t="n">
        <f aca="false">Q617</f>
        <v>0</v>
      </c>
      <c r="S617" s="35" t="n">
        <f aca="false">L617+P617+Q617+R617</f>
        <v>0</v>
      </c>
      <c r="T617" s="34" t="str">
        <f aca="false">IF(A617="","",IFERROR(INDEX(Customers!$B$5:$B$204,MATCH(C617,Customers!$A$5:$A$204,0))&amp;"",""))</f>
        <v/>
      </c>
      <c r="U617" s="38" t="str">
        <f aca="false">IF(A617="","",IF(T617&lt;&gt;"","B2B",IF(AND(O617="Yes",SUMIF($A$5:$A$1004,A617,$L$5:$L$1004)+SUMIF($A$5:$A$1004,A617,$P$5:$P$1004)&gt;100000),"B2CL","B2CS")))</f>
        <v/>
      </c>
      <c r="V617" s="17" t="str">
        <f aca="false">IF(A617="","",TEXT(B617,"mmm-yyyy"))</f>
        <v/>
      </c>
    </row>
    <row r="618" customFormat="false" ht="15" hidden="false" customHeight="true" outlineLevel="0" collapsed="false">
      <c r="A618" s="24"/>
      <c r="B618" s="39"/>
      <c r="C618" s="24"/>
      <c r="D618" s="24"/>
      <c r="E618" s="40"/>
      <c r="F618" s="29"/>
      <c r="G618" s="30"/>
      <c r="H618" s="17" t="str">
        <f aca="false">IF(A618="","",A618&amp;"|"&amp;COUNTIF(A$5:A618,A618))</f>
        <v/>
      </c>
      <c r="I618" s="33" t="str">
        <f aca="false">IF(A618="","",IFERROR(INDEX(Items!$B$5:$B$304,MATCH(D618,Items!$A$5:$A$304,0))&amp;"",""))</f>
        <v/>
      </c>
      <c r="J618" s="34" t="str">
        <f aca="false">IF(A618="","",IFERROR(INDEX(Items!$C$5:$C$304,MATCH(D618,Items!$A$5:$A$304,0))&amp;"",""))</f>
        <v/>
      </c>
      <c r="K618" s="35" t="n">
        <f aca="false">IF(A618="",0,IF(ISNUMBER(F618),F618,IFERROR(INDEX(Items!$D$5:$D$304,MATCH(D618,Items!$A$5:$A$304,0)),0)))</f>
        <v>0</v>
      </c>
      <c r="L618" s="35" t="n">
        <f aca="false">ROUND(N(E618)*K618*(1-N(G618)),2)</f>
        <v>0</v>
      </c>
      <c r="M618" s="36" t="n">
        <f aca="false">IF(A618="",0,IFERROR(INDEX(Items!$E$5:$E$304,MATCH(D618,Items!$A$5:$A$304,0)),0))</f>
        <v>0</v>
      </c>
      <c r="N618" s="37" t="str">
        <f aca="false">IF(A618="","",IFERROR(INDEX(Customers!$E$5:$E$204,MATCH(C618,Customers!$A$5:$A$204,0)),"?"))</f>
        <v/>
      </c>
      <c r="O618" s="38" t="str">
        <f aca="false">IF(A618="","",IF(N618=Settings!$B$17,"No","Yes"))</f>
        <v/>
      </c>
      <c r="P618" s="35" t="n">
        <f aca="false">IF(O618="Yes",ROUND(L618*M618,2),0)</f>
        <v>0</v>
      </c>
      <c r="Q618" s="35" t="n">
        <f aca="false">IF(O618="No",ROUND(L618*M618/2,2),0)</f>
        <v>0</v>
      </c>
      <c r="R618" s="35" t="n">
        <f aca="false">Q618</f>
        <v>0</v>
      </c>
      <c r="S618" s="35" t="n">
        <f aca="false">L618+P618+Q618+R618</f>
        <v>0</v>
      </c>
      <c r="T618" s="34" t="str">
        <f aca="false">IF(A618="","",IFERROR(INDEX(Customers!$B$5:$B$204,MATCH(C618,Customers!$A$5:$A$204,0))&amp;"",""))</f>
        <v/>
      </c>
      <c r="U618" s="38" t="str">
        <f aca="false">IF(A618="","",IF(T618&lt;&gt;"","B2B",IF(AND(O618="Yes",SUMIF($A$5:$A$1004,A618,$L$5:$L$1004)+SUMIF($A$5:$A$1004,A618,$P$5:$P$1004)&gt;100000),"B2CL","B2CS")))</f>
        <v/>
      </c>
      <c r="V618" s="17" t="str">
        <f aca="false">IF(A618="","",TEXT(B618,"mmm-yyyy"))</f>
        <v/>
      </c>
    </row>
    <row r="619" customFormat="false" ht="15" hidden="false" customHeight="true" outlineLevel="0" collapsed="false">
      <c r="A619" s="24"/>
      <c r="B619" s="39"/>
      <c r="C619" s="24"/>
      <c r="D619" s="24"/>
      <c r="E619" s="40"/>
      <c r="F619" s="29"/>
      <c r="G619" s="30"/>
      <c r="H619" s="17" t="str">
        <f aca="false">IF(A619="","",A619&amp;"|"&amp;COUNTIF(A$5:A619,A619))</f>
        <v/>
      </c>
      <c r="I619" s="33" t="str">
        <f aca="false">IF(A619="","",IFERROR(INDEX(Items!$B$5:$B$304,MATCH(D619,Items!$A$5:$A$304,0))&amp;"",""))</f>
        <v/>
      </c>
      <c r="J619" s="34" t="str">
        <f aca="false">IF(A619="","",IFERROR(INDEX(Items!$C$5:$C$304,MATCH(D619,Items!$A$5:$A$304,0))&amp;"",""))</f>
        <v/>
      </c>
      <c r="K619" s="35" t="n">
        <f aca="false">IF(A619="",0,IF(ISNUMBER(F619),F619,IFERROR(INDEX(Items!$D$5:$D$304,MATCH(D619,Items!$A$5:$A$304,0)),0)))</f>
        <v>0</v>
      </c>
      <c r="L619" s="35" t="n">
        <f aca="false">ROUND(N(E619)*K619*(1-N(G619)),2)</f>
        <v>0</v>
      </c>
      <c r="M619" s="36" t="n">
        <f aca="false">IF(A619="",0,IFERROR(INDEX(Items!$E$5:$E$304,MATCH(D619,Items!$A$5:$A$304,0)),0))</f>
        <v>0</v>
      </c>
      <c r="N619" s="37" t="str">
        <f aca="false">IF(A619="","",IFERROR(INDEX(Customers!$E$5:$E$204,MATCH(C619,Customers!$A$5:$A$204,0)),"?"))</f>
        <v/>
      </c>
      <c r="O619" s="38" t="str">
        <f aca="false">IF(A619="","",IF(N619=Settings!$B$17,"No","Yes"))</f>
        <v/>
      </c>
      <c r="P619" s="35" t="n">
        <f aca="false">IF(O619="Yes",ROUND(L619*M619,2),0)</f>
        <v>0</v>
      </c>
      <c r="Q619" s="35" t="n">
        <f aca="false">IF(O619="No",ROUND(L619*M619/2,2),0)</f>
        <v>0</v>
      </c>
      <c r="R619" s="35" t="n">
        <f aca="false">Q619</f>
        <v>0</v>
      </c>
      <c r="S619" s="35" t="n">
        <f aca="false">L619+P619+Q619+R619</f>
        <v>0</v>
      </c>
      <c r="T619" s="34" t="str">
        <f aca="false">IF(A619="","",IFERROR(INDEX(Customers!$B$5:$B$204,MATCH(C619,Customers!$A$5:$A$204,0))&amp;"",""))</f>
        <v/>
      </c>
      <c r="U619" s="38" t="str">
        <f aca="false">IF(A619="","",IF(T619&lt;&gt;"","B2B",IF(AND(O619="Yes",SUMIF($A$5:$A$1004,A619,$L$5:$L$1004)+SUMIF($A$5:$A$1004,A619,$P$5:$P$1004)&gt;100000),"B2CL","B2CS")))</f>
        <v/>
      </c>
      <c r="V619" s="17" t="str">
        <f aca="false">IF(A619="","",TEXT(B619,"mmm-yyyy"))</f>
        <v/>
      </c>
    </row>
    <row r="620" customFormat="false" ht="15" hidden="false" customHeight="true" outlineLevel="0" collapsed="false">
      <c r="A620" s="24"/>
      <c r="B620" s="39"/>
      <c r="C620" s="24"/>
      <c r="D620" s="24"/>
      <c r="E620" s="40"/>
      <c r="F620" s="29"/>
      <c r="G620" s="30"/>
      <c r="H620" s="17" t="str">
        <f aca="false">IF(A620="","",A620&amp;"|"&amp;COUNTIF(A$5:A620,A620))</f>
        <v/>
      </c>
      <c r="I620" s="33" t="str">
        <f aca="false">IF(A620="","",IFERROR(INDEX(Items!$B$5:$B$304,MATCH(D620,Items!$A$5:$A$304,0))&amp;"",""))</f>
        <v/>
      </c>
      <c r="J620" s="34" t="str">
        <f aca="false">IF(A620="","",IFERROR(INDEX(Items!$C$5:$C$304,MATCH(D620,Items!$A$5:$A$304,0))&amp;"",""))</f>
        <v/>
      </c>
      <c r="K620" s="35" t="n">
        <f aca="false">IF(A620="",0,IF(ISNUMBER(F620),F620,IFERROR(INDEX(Items!$D$5:$D$304,MATCH(D620,Items!$A$5:$A$304,0)),0)))</f>
        <v>0</v>
      </c>
      <c r="L620" s="35" t="n">
        <f aca="false">ROUND(N(E620)*K620*(1-N(G620)),2)</f>
        <v>0</v>
      </c>
      <c r="M620" s="36" t="n">
        <f aca="false">IF(A620="",0,IFERROR(INDEX(Items!$E$5:$E$304,MATCH(D620,Items!$A$5:$A$304,0)),0))</f>
        <v>0</v>
      </c>
      <c r="N620" s="37" t="str">
        <f aca="false">IF(A620="","",IFERROR(INDEX(Customers!$E$5:$E$204,MATCH(C620,Customers!$A$5:$A$204,0)),"?"))</f>
        <v/>
      </c>
      <c r="O620" s="38" t="str">
        <f aca="false">IF(A620="","",IF(N620=Settings!$B$17,"No","Yes"))</f>
        <v/>
      </c>
      <c r="P620" s="35" t="n">
        <f aca="false">IF(O620="Yes",ROUND(L620*M620,2),0)</f>
        <v>0</v>
      </c>
      <c r="Q620" s="35" t="n">
        <f aca="false">IF(O620="No",ROUND(L620*M620/2,2),0)</f>
        <v>0</v>
      </c>
      <c r="R620" s="35" t="n">
        <f aca="false">Q620</f>
        <v>0</v>
      </c>
      <c r="S620" s="35" t="n">
        <f aca="false">L620+P620+Q620+R620</f>
        <v>0</v>
      </c>
      <c r="T620" s="34" t="str">
        <f aca="false">IF(A620="","",IFERROR(INDEX(Customers!$B$5:$B$204,MATCH(C620,Customers!$A$5:$A$204,0))&amp;"",""))</f>
        <v/>
      </c>
      <c r="U620" s="38" t="str">
        <f aca="false">IF(A620="","",IF(T620&lt;&gt;"","B2B",IF(AND(O620="Yes",SUMIF($A$5:$A$1004,A620,$L$5:$L$1004)+SUMIF($A$5:$A$1004,A620,$P$5:$P$1004)&gt;100000),"B2CL","B2CS")))</f>
        <v/>
      </c>
      <c r="V620" s="17" t="str">
        <f aca="false">IF(A620="","",TEXT(B620,"mmm-yyyy"))</f>
        <v/>
      </c>
    </row>
    <row r="621" customFormat="false" ht="15" hidden="false" customHeight="true" outlineLevel="0" collapsed="false">
      <c r="A621" s="24"/>
      <c r="B621" s="39"/>
      <c r="C621" s="24"/>
      <c r="D621" s="24"/>
      <c r="E621" s="40"/>
      <c r="F621" s="29"/>
      <c r="G621" s="30"/>
      <c r="H621" s="17" t="str">
        <f aca="false">IF(A621="","",A621&amp;"|"&amp;COUNTIF(A$5:A621,A621))</f>
        <v/>
      </c>
      <c r="I621" s="33" t="str">
        <f aca="false">IF(A621="","",IFERROR(INDEX(Items!$B$5:$B$304,MATCH(D621,Items!$A$5:$A$304,0))&amp;"",""))</f>
        <v/>
      </c>
      <c r="J621" s="34" t="str">
        <f aca="false">IF(A621="","",IFERROR(INDEX(Items!$C$5:$C$304,MATCH(D621,Items!$A$5:$A$304,0))&amp;"",""))</f>
        <v/>
      </c>
      <c r="K621" s="35" t="n">
        <f aca="false">IF(A621="",0,IF(ISNUMBER(F621),F621,IFERROR(INDEX(Items!$D$5:$D$304,MATCH(D621,Items!$A$5:$A$304,0)),0)))</f>
        <v>0</v>
      </c>
      <c r="L621" s="35" t="n">
        <f aca="false">ROUND(N(E621)*K621*(1-N(G621)),2)</f>
        <v>0</v>
      </c>
      <c r="M621" s="36" t="n">
        <f aca="false">IF(A621="",0,IFERROR(INDEX(Items!$E$5:$E$304,MATCH(D621,Items!$A$5:$A$304,0)),0))</f>
        <v>0</v>
      </c>
      <c r="N621" s="37" t="str">
        <f aca="false">IF(A621="","",IFERROR(INDEX(Customers!$E$5:$E$204,MATCH(C621,Customers!$A$5:$A$204,0)),"?"))</f>
        <v/>
      </c>
      <c r="O621" s="38" t="str">
        <f aca="false">IF(A621="","",IF(N621=Settings!$B$17,"No","Yes"))</f>
        <v/>
      </c>
      <c r="P621" s="35" t="n">
        <f aca="false">IF(O621="Yes",ROUND(L621*M621,2),0)</f>
        <v>0</v>
      </c>
      <c r="Q621" s="35" t="n">
        <f aca="false">IF(O621="No",ROUND(L621*M621/2,2),0)</f>
        <v>0</v>
      </c>
      <c r="R621" s="35" t="n">
        <f aca="false">Q621</f>
        <v>0</v>
      </c>
      <c r="S621" s="35" t="n">
        <f aca="false">L621+P621+Q621+R621</f>
        <v>0</v>
      </c>
      <c r="T621" s="34" t="str">
        <f aca="false">IF(A621="","",IFERROR(INDEX(Customers!$B$5:$B$204,MATCH(C621,Customers!$A$5:$A$204,0))&amp;"",""))</f>
        <v/>
      </c>
      <c r="U621" s="38" t="str">
        <f aca="false">IF(A621="","",IF(T621&lt;&gt;"","B2B",IF(AND(O621="Yes",SUMIF($A$5:$A$1004,A621,$L$5:$L$1004)+SUMIF($A$5:$A$1004,A621,$P$5:$P$1004)&gt;100000),"B2CL","B2CS")))</f>
        <v/>
      </c>
      <c r="V621" s="17" t="str">
        <f aca="false">IF(A621="","",TEXT(B621,"mmm-yyyy"))</f>
        <v/>
      </c>
    </row>
    <row r="622" customFormat="false" ht="15" hidden="false" customHeight="true" outlineLevel="0" collapsed="false">
      <c r="A622" s="24"/>
      <c r="B622" s="39"/>
      <c r="C622" s="24"/>
      <c r="D622" s="24"/>
      <c r="E622" s="40"/>
      <c r="F622" s="29"/>
      <c r="G622" s="30"/>
      <c r="H622" s="17" t="str">
        <f aca="false">IF(A622="","",A622&amp;"|"&amp;COUNTIF(A$5:A622,A622))</f>
        <v/>
      </c>
      <c r="I622" s="33" t="str">
        <f aca="false">IF(A622="","",IFERROR(INDEX(Items!$B$5:$B$304,MATCH(D622,Items!$A$5:$A$304,0))&amp;"",""))</f>
        <v/>
      </c>
      <c r="J622" s="34" t="str">
        <f aca="false">IF(A622="","",IFERROR(INDEX(Items!$C$5:$C$304,MATCH(D622,Items!$A$5:$A$304,0))&amp;"",""))</f>
        <v/>
      </c>
      <c r="K622" s="35" t="n">
        <f aca="false">IF(A622="",0,IF(ISNUMBER(F622),F622,IFERROR(INDEX(Items!$D$5:$D$304,MATCH(D622,Items!$A$5:$A$304,0)),0)))</f>
        <v>0</v>
      </c>
      <c r="L622" s="35" t="n">
        <f aca="false">ROUND(N(E622)*K622*(1-N(G622)),2)</f>
        <v>0</v>
      </c>
      <c r="M622" s="36" t="n">
        <f aca="false">IF(A622="",0,IFERROR(INDEX(Items!$E$5:$E$304,MATCH(D622,Items!$A$5:$A$304,0)),0))</f>
        <v>0</v>
      </c>
      <c r="N622" s="37" t="str">
        <f aca="false">IF(A622="","",IFERROR(INDEX(Customers!$E$5:$E$204,MATCH(C622,Customers!$A$5:$A$204,0)),"?"))</f>
        <v/>
      </c>
      <c r="O622" s="38" t="str">
        <f aca="false">IF(A622="","",IF(N622=Settings!$B$17,"No","Yes"))</f>
        <v/>
      </c>
      <c r="P622" s="35" t="n">
        <f aca="false">IF(O622="Yes",ROUND(L622*M622,2),0)</f>
        <v>0</v>
      </c>
      <c r="Q622" s="35" t="n">
        <f aca="false">IF(O622="No",ROUND(L622*M622/2,2),0)</f>
        <v>0</v>
      </c>
      <c r="R622" s="35" t="n">
        <f aca="false">Q622</f>
        <v>0</v>
      </c>
      <c r="S622" s="35" t="n">
        <f aca="false">L622+P622+Q622+R622</f>
        <v>0</v>
      </c>
      <c r="T622" s="34" t="str">
        <f aca="false">IF(A622="","",IFERROR(INDEX(Customers!$B$5:$B$204,MATCH(C622,Customers!$A$5:$A$204,0))&amp;"",""))</f>
        <v/>
      </c>
      <c r="U622" s="38" t="str">
        <f aca="false">IF(A622="","",IF(T622&lt;&gt;"","B2B",IF(AND(O622="Yes",SUMIF($A$5:$A$1004,A622,$L$5:$L$1004)+SUMIF($A$5:$A$1004,A622,$P$5:$P$1004)&gt;100000),"B2CL","B2CS")))</f>
        <v/>
      </c>
      <c r="V622" s="17" t="str">
        <f aca="false">IF(A622="","",TEXT(B622,"mmm-yyyy"))</f>
        <v/>
      </c>
    </row>
    <row r="623" customFormat="false" ht="15" hidden="false" customHeight="true" outlineLevel="0" collapsed="false">
      <c r="A623" s="24"/>
      <c r="B623" s="39"/>
      <c r="C623" s="24"/>
      <c r="D623" s="24"/>
      <c r="E623" s="40"/>
      <c r="F623" s="29"/>
      <c r="G623" s="30"/>
      <c r="H623" s="17" t="str">
        <f aca="false">IF(A623="","",A623&amp;"|"&amp;COUNTIF(A$5:A623,A623))</f>
        <v/>
      </c>
      <c r="I623" s="33" t="str">
        <f aca="false">IF(A623="","",IFERROR(INDEX(Items!$B$5:$B$304,MATCH(D623,Items!$A$5:$A$304,0))&amp;"",""))</f>
        <v/>
      </c>
      <c r="J623" s="34" t="str">
        <f aca="false">IF(A623="","",IFERROR(INDEX(Items!$C$5:$C$304,MATCH(D623,Items!$A$5:$A$304,0))&amp;"",""))</f>
        <v/>
      </c>
      <c r="K623" s="35" t="n">
        <f aca="false">IF(A623="",0,IF(ISNUMBER(F623),F623,IFERROR(INDEX(Items!$D$5:$D$304,MATCH(D623,Items!$A$5:$A$304,0)),0)))</f>
        <v>0</v>
      </c>
      <c r="L623" s="35" t="n">
        <f aca="false">ROUND(N(E623)*K623*(1-N(G623)),2)</f>
        <v>0</v>
      </c>
      <c r="M623" s="36" t="n">
        <f aca="false">IF(A623="",0,IFERROR(INDEX(Items!$E$5:$E$304,MATCH(D623,Items!$A$5:$A$304,0)),0))</f>
        <v>0</v>
      </c>
      <c r="N623" s="37" t="str">
        <f aca="false">IF(A623="","",IFERROR(INDEX(Customers!$E$5:$E$204,MATCH(C623,Customers!$A$5:$A$204,0)),"?"))</f>
        <v/>
      </c>
      <c r="O623" s="38" t="str">
        <f aca="false">IF(A623="","",IF(N623=Settings!$B$17,"No","Yes"))</f>
        <v/>
      </c>
      <c r="P623" s="35" t="n">
        <f aca="false">IF(O623="Yes",ROUND(L623*M623,2),0)</f>
        <v>0</v>
      </c>
      <c r="Q623" s="35" t="n">
        <f aca="false">IF(O623="No",ROUND(L623*M623/2,2),0)</f>
        <v>0</v>
      </c>
      <c r="R623" s="35" t="n">
        <f aca="false">Q623</f>
        <v>0</v>
      </c>
      <c r="S623" s="35" t="n">
        <f aca="false">L623+P623+Q623+R623</f>
        <v>0</v>
      </c>
      <c r="T623" s="34" t="str">
        <f aca="false">IF(A623="","",IFERROR(INDEX(Customers!$B$5:$B$204,MATCH(C623,Customers!$A$5:$A$204,0))&amp;"",""))</f>
        <v/>
      </c>
      <c r="U623" s="38" t="str">
        <f aca="false">IF(A623="","",IF(T623&lt;&gt;"","B2B",IF(AND(O623="Yes",SUMIF($A$5:$A$1004,A623,$L$5:$L$1004)+SUMIF($A$5:$A$1004,A623,$P$5:$P$1004)&gt;100000),"B2CL","B2CS")))</f>
        <v/>
      </c>
      <c r="V623" s="17" t="str">
        <f aca="false">IF(A623="","",TEXT(B623,"mmm-yyyy"))</f>
        <v/>
      </c>
    </row>
    <row r="624" customFormat="false" ht="15" hidden="false" customHeight="true" outlineLevel="0" collapsed="false">
      <c r="A624" s="24"/>
      <c r="B624" s="39"/>
      <c r="C624" s="24"/>
      <c r="D624" s="24"/>
      <c r="E624" s="40"/>
      <c r="F624" s="29"/>
      <c r="G624" s="30"/>
      <c r="H624" s="17" t="str">
        <f aca="false">IF(A624="","",A624&amp;"|"&amp;COUNTIF(A$5:A624,A624))</f>
        <v/>
      </c>
      <c r="I624" s="33" t="str">
        <f aca="false">IF(A624="","",IFERROR(INDEX(Items!$B$5:$B$304,MATCH(D624,Items!$A$5:$A$304,0))&amp;"",""))</f>
        <v/>
      </c>
      <c r="J624" s="34" t="str">
        <f aca="false">IF(A624="","",IFERROR(INDEX(Items!$C$5:$C$304,MATCH(D624,Items!$A$5:$A$304,0))&amp;"",""))</f>
        <v/>
      </c>
      <c r="K624" s="35" t="n">
        <f aca="false">IF(A624="",0,IF(ISNUMBER(F624),F624,IFERROR(INDEX(Items!$D$5:$D$304,MATCH(D624,Items!$A$5:$A$304,0)),0)))</f>
        <v>0</v>
      </c>
      <c r="L624" s="35" t="n">
        <f aca="false">ROUND(N(E624)*K624*(1-N(G624)),2)</f>
        <v>0</v>
      </c>
      <c r="M624" s="36" t="n">
        <f aca="false">IF(A624="",0,IFERROR(INDEX(Items!$E$5:$E$304,MATCH(D624,Items!$A$5:$A$304,0)),0))</f>
        <v>0</v>
      </c>
      <c r="N624" s="37" t="str">
        <f aca="false">IF(A624="","",IFERROR(INDEX(Customers!$E$5:$E$204,MATCH(C624,Customers!$A$5:$A$204,0)),"?"))</f>
        <v/>
      </c>
      <c r="O624" s="38" t="str">
        <f aca="false">IF(A624="","",IF(N624=Settings!$B$17,"No","Yes"))</f>
        <v/>
      </c>
      <c r="P624" s="35" t="n">
        <f aca="false">IF(O624="Yes",ROUND(L624*M624,2),0)</f>
        <v>0</v>
      </c>
      <c r="Q624" s="35" t="n">
        <f aca="false">IF(O624="No",ROUND(L624*M624/2,2),0)</f>
        <v>0</v>
      </c>
      <c r="R624" s="35" t="n">
        <f aca="false">Q624</f>
        <v>0</v>
      </c>
      <c r="S624" s="35" t="n">
        <f aca="false">L624+P624+Q624+R624</f>
        <v>0</v>
      </c>
      <c r="T624" s="34" t="str">
        <f aca="false">IF(A624="","",IFERROR(INDEX(Customers!$B$5:$B$204,MATCH(C624,Customers!$A$5:$A$204,0))&amp;"",""))</f>
        <v/>
      </c>
      <c r="U624" s="38" t="str">
        <f aca="false">IF(A624="","",IF(T624&lt;&gt;"","B2B",IF(AND(O624="Yes",SUMIF($A$5:$A$1004,A624,$L$5:$L$1004)+SUMIF($A$5:$A$1004,A624,$P$5:$P$1004)&gt;100000),"B2CL","B2CS")))</f>
        <v/>
      </c>
      <c r="V624" s="17" t="str">
        <f aca="false">IF(A624="","",TEXT(B624,"mmm-yyyy"))</f>
        <v/>
      </c>
    </row>
    <row r="625" customFormat="false" ht="15" hidden="false" customHeight="true" outlineLevel="0" collapsed="false">
      <c r="A625" s="24"/>
      <c r="B625" s="39"/>
      <c r="C625" s="24"/>
      <c r="D625" s="24"/>
      <c r="E625" s="40"/>
      <c r="F625" s="29"/>
      <c r="G625" s="30"/>
      <c r="H625" s="17" t="str">
        <f aca="false">IF(A625="","",A625&amp;"|"&amp;COUNTIF(A$5:A625,A625))</f>
        <v/>
      </c>
      <c r="I625" s="33" t="str">
        <f aca="false">IF(A625="","",IFERROR(INDEX(Items!$B$5:$B$304,MATCH(D625,Items!$A$5:$A$304,0))&amp;"",""))</f>
        <v/>
      </c>
      <c r="J625" s="34" t="str">
        <f aca="false">IF(A625="","",IFERROR(INDEX(Items!$C$5:$C$304,MATCH(D625,Items!$A$5:$A$304,0))&amp;"",""))</f>
        <v/>
      </c>
      <c r="K625" s="35" t="n">
        <f aca="false">IF(A625="",0,IF(ISNUMBER(F625),F625,IFERROR(INDEX(Items!$D$5:$D$304,MATCH(D625,Items!$A$5:$A$304,0)),0)))</f>
        <v>0</v>
      </c>
      <c r="L625" s="35" t="n">
        <f aca="false">ROUND(N(E625)*K625*(1-N(G625)),2)</f>
        <v>0</v>
      </c>
      <c r="M625" s="36" t="n">
        <f aca="false">IF(A625="",0,IFERROR(INDEX(Items!$E$5:$E$304,MATCH(D625,Items!$A$5:$A$304,0)),0))</f>
        <v>0</v>
      </c>
      <c r="N625" s="37" t="str">
        <f aca="false">IF(A625="","",IFERROR(INDEX(Customers!$E$5:$E$204,MATCH(C625,Customers!$A$5:$A$204,0)),"?"))</f>
        <v/>
      </c>
      <c r="O625" s="38" t="str">
        <f aca="false">IF(A625="","",IF(N625=Settings!$B$17,"No","Yes"))</f>
        <v/>
      </c>
      <c r="P625" s="35" t="n">
        <f aca="false">IF(O625="Yes",ROUND(L625*M625,2),0)</f>
        <v>0</v>
      </c>
      <c r="Q625" s="35" t="n">
        <f aca="false">IF(O625="No",ROUND(L625*M625/2,2),0)</f>
        <v>0</v>
      </c>
      <c r="R625" s="35" t="n">
        <f aca="false">Q625</f>
        <v>0</v>
      </c>
      <c r="S625" s="35" t="n">
        <f aca="false">L625+P625+Q625+R625</f>
        <v>0</v>
      </c>
      <c r="T625" s="34" t="str">
        <f aca="false">IF(A625="","",IFERROR(INDEX(Customers!$B$5:$B$204,MATCH(C625,Customers!$A$5:$A$204,0))&amp;"",""))</f>
        <v/>
      </c>
      <c r="U625" s="38" t="str">
        <f aca="false">IF(A625="","",IF(T625&lt;&gt;"","B2B",IF(AND(O625="Yes",SUMIF($A$5:$A$1004,A625,$L$5:$L$1004)+SUMIF($A$5:$A$1004,A625,$P$5:$P$1004)&gt;100000),"B2CL","B2CS")))</f>
        <v/>
      </c>
      <c r="V625" s="17" t="str">
        <f aca="false">IF(A625="","",TEXT(B625,"mmm-yyyy"))</f>
        <v/>
      </c>
    </row>
    <row r="626" customFormat="false" ht="15" hidden="false" customHeight="true" outlineLevel="0" collapsed="false">
      <c r="A626" s="24"/>
      <c r="B626" s="39"/>
      <c r="C626" s="24"/>
      <c r="D626" s="24"/>
      <c r="E626" s="40"/>
      <c r="F626" s="29"/>
      <c r="G626" s="30"/>
      <c r="H626" s="17" t="str">
        <f aca="false">IF(A626="","",A626&amp;"|"&amp;COUNTIF(A$5:A626,A626))</f>
        <v/>
      </c>
      <c r="I626" s="33" t="str">
        <f aca="false">IF(A626="","",IFERROR(INDEX(Items!$B$5:$B$304,MATCH(D626,Items!$A$5:$A$304,0))&amp;"",""))</f>
        <v/>
      </c>
      <c r="J626" s="34" t="str">
        <f aca="false">IF(A626="","",IFERROR(INDEX(Items!$C$5:$C$304,MATCH(D626,Items!$A$5:$A$304,0))&amp;"",""))</f>
        <v/>
      </c>
      <c r="K626" s="35" t="n">
        <f aca="false">IF(A626="",0,IF(ISNUMBER(F626),F626,IFERROR(INDEX(Items!$D$5:$D$304,MATCH(D626,Items!$A$5:$A$304,0)),0)))</f>
        <v>0</v>
      </c>
      <c r="L626" s="35" t="n">
        <f aca="false">ROUND(N(E626)*K626*(1-N(G626)),2)</f>
        <v>0</v>
      </c>
      <c r="M626" s="36" t="n">
        <f aca="false">IF(A626="",0,IFERROR(INDEX(Items!$E$5:$E$304,MATCH(D626,Items!$A$5:$A$304,0)),0))</f>
        <v>0</v>
      </c>
      <c r="N626" s="37" t="str">
        <f aca="false">IF(A626="","",IFERROR(INDEX(Customers!$E$5:$E$204,MATCH(C626,Customers!$A$5:$A$204,0)),"?"))</f>
        <v/>
      </c>
      <c r="O626" s="38" t="str">
        <f aca="false">IF(A626="","",IF(N626=Settings!$B$17,"No","Yes"))</f>
        <v/>
      </c>
      <c r="P626" s="35" t="n">
        <f aca="false">IF(O626="Yes",ROUND(L626*M626,2),0)</f>
        <v>0</v>
      </c>
      <c r="Q626" s="35" t="n">
        <f aca="false">IF(O626="No",ROUND(L626*M626/2,2),0)</f>
        <v>0</v>
      </c>
      <c r="R626" s="35" t="n">
        <f aca="false">Q626</f>
        <v>0</v>
      </c>
      <c r="S626" s="35" t="n">
        <f aca="false">L626+P626+Q626+R626</f>
        <v>0</v>
      </c>
      <c r="T626" s="34" t="str">
        <f aca="false">IF(A626="","",IFERROR(INDEX(Customers!$B$5:$B$204,MATCH(C626,Customers!$A$5:$A$204,0))&amp;"",""))</f>
        <v/>
      </c>
      <c r="U626" s="38" t="str">
        <f aca="false">IF(A626="","",IF(T626&lt;&gt;"","B2B",IF(AND(O626="Yes",SUMIF($A$5:$A$1004,A626,$L$5:$L$1004)+SUMIF($A$5:$A$1004,A626,$P$5:$P$1004)&gt;100000),"B2CL","B2CS")))</f>
        <v/>
      </c>
      <c r="V626" s="17" t="str">
        <f aca="false">IF(A626="","",TEXT(B626,"mmm-yyyy"))</f>
        <v/>
      </c>
    </row>
    <row r="627" customFormat="false" ht="15" hidden="false" customHeight="true" outlineLevel="0" collapsed="false">
      <c r="A627" s="24"/>
      <c r="B627" s="39"/>
      <c r="C627" s="24"/>
      <c r="D627" s="24"/>
      <c r="E627" s="40"/>
      <c r="F627" s="29"/>
      <c r="G627" s="30"/>
      <c r="H627" s="17" t="str">
        <f aca="false">IF(A627="","",A627&amp;"|"&amp;COUNTIF(A$5:A627,A627))</f>
        <v/>
      </c>
      <c r="I627" s="33" t="str">
        <f aca="false">IF(A627="","",IFERROR(INDEX(Items!$B$5:$B$304,MATCH(D627,Items!$A$5:$A$304,0))&amp;"",""))</f>
        <v/>
      </c>
      <c r="J627" s="34" t="str">
        <f aca="false">IF(A627="","",IFERROR(INDEX(Items!$C$5:$C$304,MATCH(D627,Items!$A$5:$A$304,0))&amp;"",""))</f>
        <v/>
      </c>
      <c r="K627" s="35" t="n">
        <f aca="false">IF(A627="",0,IF(ISNUMBER(F627),F627,IFERROR(INDEX(Items!$D$5:$D$304,MATCH(D627,Items!$A$5:$A$304,0)),0)))</f>
        <v>0</v>
      </c>
      <c r="L627" s="35" t="n">
        <f aca="false">ROUND(N(E627)*K627*(1-N(G627)),2)</f>
        <v>0</v>
      </c>
      <c r="M627" s="36" t="n">
        <f aca="false">IF(A627="",0,IFERROR(INDEX(Items!$E$5:$E$304,MATCH(D627,Items!$A$5:$A$304,0)),0))</f>
        <v>0</v>
      </c>
      <c r="N627" s="37" t="str">
        <f aca="false">IF(A627="","",IFERROR(INDEX(Customers!$E$5:$E$204,MATCH(C627,Customers!$A$5:$A$204,0)),"?"))</f>
        <v/>
      </c>
      <c r="O627" s="38" t="str">
        <f aca="false">IF(A627="","",IF(N627=Settings!$B$17,"No","Yes"))</f>
        <v/>
      </c>
      <c r="P627" s="35" t="n">
        <f aca="false">IF(O627="Yes",ROUND(L627*M627,2),0)</f>
        <v>0</v>
      </c>
      <c r="Q627" s="35" t="n">
        <f aca="false">IF(O627="No",ROUND(L627*M627/2,2),0)</f>
        <v>0</v>
      </c>
      <c r="R627" s="35" t="n">
        <f aca="false">Q627</f>
        <v>0</v>
      </c>
      <c r="S627" s="35" t="n">
        <f aca="false">L627+P627+Q627+R627</f>
        <v>0</v>
      </c>
      <c r="T627" s="34" t="str">
        <f aca="false">IF(A627="","",IFERROR(INDEX(Customers!$B$5:$B$204,MATCH(C627,Customers!$A$5:$A$204,0))&amp;"",""))</f>
        <v/>
      </c>
      <c r="U627" s="38" t="str">
        <f aca="false">IF(A627="","",IF(T627&lt;&gt;"","B2B",IF(AND(O627="Yes",SUMIF($A$5:$A$1004,A627,$L$5:$L$1004)+SUMIF($A$5:$A$1004,A627,$P$5:$P$1004)&gt;100000),"B2CL","B2CS")))</f>
        <v/>
      </c>
      <c r="V627" s="17" t="str">
        <f aca="false">IF(A627="","",TEXT(B627,"mmm-yyyy"))</f>
        <v/>
      </c>
    </row>
    <row r="628" customFormat="false" ht="15" hidden="false" customHeight="true" outlineLevel="0" collapsed="false">
      <c r="A628" s="24"/>
      <c r="B628" s="39"/>
      <c r="C628" s="24"/>
      <c r="D628" s="24"/>
      <c r="E628" s="40"/>
      <c r="F628" s="29"/>
      <c r="G628" s="30"/>
      <c r="H628" s="17" t="str">
        <f aca="false">IF(A628="","",A628&amp;"|"&amp;COUNTIF(A$5:A628,A628))</f>
        <v/>
      </c>
      <c r="I628" s="33" t="str">
        <f aca="false">IF(A628="","",IFERROR(INDEX(Items!$B$5:$B$304,MATCH(D628,Items!$A$5:$A$304,0))&amp;"",""))</f>
        <v/>
      </c>
      <c r="J628" s="34" t="str">
        <f aca="false">IF(A628="","",IFERROR(INDEX(Items!$C$5:$C$304,MATCH(D628,Items!$A$5:$A$304,0))&amp;"",""))</f>
        <v/>
      </c>
      <c r="K628" s="35" t="n">
        <f aca="false">IF(A628="",0,IF(ISNUMBER(F628),F628,IFERROR(INDEX(Items!$D$5:$D$304,MATCH(D628,Items!$A$5:$A$304,0)),0)))</f>
        <v>0</v>
      </c>
      <c r="L628" s="35" t="n">
        <f aca="false">ROUND(N(E628)*K628*(1-N(G628)),2)</f>
        <v>0</v>
      </c>
      <c r="M628" s="36" t="n">
        <f aca="false">IF(A628="",0,IFERROR(INDEX(Items!$E$5:$E$304,MATCH(D628,Items!$A$5:$A$304,0)),0))</f>
        <v>0</v>
      </c>
      <c r="N628" s="37" t="str">
        <f aca="false">IF(A628="","",IFERROR(INDEX(Customers!$E$5:$E$204,MATCH(C628,Customers!$A$5:$A$204,0)),"?"))</f>
        <v/>
      </c>
      <c r="O628" s="38" t="str">
        <f aca="false">IF(A628="","",IF(N628=Settings!$B$17,"No","Yes"))</f>
        <v/>
      </c>
      <c r="P628" s="35" t="n">
        <f aca="false">IF(O628="Yes",ROUND(L628*M628,2),0)</f>
        <v>0</v>
      </c>
      <c r="Q628" s="35" t="n">
        <f aca="false">IF(O628="No",ROUND(L628*M628/2,2),0)</f>
        <v>0</v>
      </c>
      <c r="R628" s="35" t="n">
        <f aca="false">Q628</f>
        <v>0</v>
      </c>
      <c r="S628" s="35" t="n">
        <f aca="false">L628+P628+Q628+R628</f>
        <v>0</v>
      </c>
      <c r="T628" s="34" t="str">
        <f aca="false">IF(A628="","",IFERROR(INDEX(Customers!$B$5:$B$204,MATCH(C628,Customers!$A$5:$A$204,0))&amp;"",""))</f>
        <v/>
      </c>
      <c r="U628" s="38" t="str">
        <f aca="false">IF(A628="","",IF(T628&lt;&gt;"","B2B",IF(AND(O628="Yes",SUMIF($A$5:$A$1004,A628,$L$5:$L$1004)+SUMIF($A$5:$A$1004,A628,$P$5:$P$1004)&gt;100000),"B2CL","B2CS")))</f>
        <v/>
      </c>
      <c r="V628" s="17" t="str">
        <f aca="false">IF(A628="","",TEXT(B628,"mmm-yyyy"))</f>
        <v/>
      </c>
    </row>
    <row r="629" customFormat="false" ht="15" hidden="false" customHeight="true" outlineLevel="0" collapsed="false">
      <c r="A629" s="24"/>
      <c r="B629" s="39"/>
      <c r="C629" s="24"/>
      <c r="D629" s="24"/>
      <c r="E629" s="40"/>
      <c r="F629" s="29"/>
      <c r="G629" s="30"/>
      <c r="H629" s="17" t="str">
        <f aca="false">IF(A629="","",A629&amp;"|"&amp;COUNTIF(A$5:A629,A629))</f>
        <v/>
      </c>
      <c r="I629" s="33" t="str">
        <f aca="false">IF(A629="","",IFERROR(INDEX(Items!$B$5:$B$304,MATCH(D629,Items!$A$5:$A$304,0))&amp;"",""))</f>
        <v/>
      </c>
      <c r="J629" s="34" t="str">
        <f aca="false">IF(A629="","",IFERROR(INDEX(Items!$C$5:$C$304,MATCH(D629,Items!$A$5:$A$304,0))&amp;"",""))</f>
        <v/>
      </c>
      <c r="K629" s="35" t="n">
        <f aca="false">IF(A629="",0,IF(ISNUMBER(F629),F629,IFERROR(INDEX(Items!$D$5:$D$304,MATCH(D629,Items!$A$5:$A$304,0)),0)))</f>
        <v>0</v>
      </c>
      <c r="L629" s="35" t="n">
        <f aca="false">ROUND(N(E629)*K629*(1-N(G629)),2)</f>
        <v>0</v>
      </c>
      <c r="M629" s="36" t="n">
        <f aca="false">IF(A629="",0,IFERROR(INDEX(Items!$E$5:$E$304,MATCH(D629,Items!$A$5:$A$304,0)),0))</f>
        <v>0</v>
      </c>
      <c r="N629" s="37" t="str">
        <f aca="false">IF(A629="","",IFERROR(INDEX(Customers!$E$5:$E$204,MATCH(C629,Customers!$A$5:$A$204,0)),"?"))</f>
        <v/>
      </c>
      <c r="O629" s="38" t="str">
        <f aca="false">IF(A629="","",IF(N629=Settings!$B$17,"No","Yes"))</f>
        <v/>
      </c>
      <c r="P629" s="35" t="n">
        <f aca="false">IF(O629="Yes",ROUND(L629*M629,2),0)</f>
        <v>0</v>
      </c>
      <c r="Q629" s="35" t="n">
        <f aca="false">IF(O629="No",ROUND(L629*M629/2,2),0)</f>
        <v>0</v>
      </c>
      <c r="R629" s="35" t="n">
        <f aca="false">Q629</f>
        <v>0</v>
      </c>
      <c r="S629" s="35" t="n">
        <f aca="false">L629+P629+Q629+R629</f>
        <v>0</v>
      </c>
      <c r="T629" s="34" t="str">
        <f aca="false">IF(A629="","",IFERROR(INDEX(Customers!$B$5:$B$204,MATCH(C629,Customers!$A$5:$A$204,0))&amp;"",""))</f>
        <v/>
      </c>
      <c r="U629" s="38" t="str">
        <f aca="false">IF(A629="","",IF(T629&lt;&gt;"","B2B",IF(AND(O629="Yes",SUMIF($A$5:$A$1004,A629,$L$5:$L$1004)+SUMIF($A$5:$A$1004,A629,$P$5:$P$1004)&gt;100000),"B2CL","B2CS")))</f>
        <v/>
      </c>
      <c r="V629" s="17" t="str">
        <f aca="false">IF(A629="","",TEXT(B629,"mmm-yyyy"))</f>
        <v/>
      </c>
    </row>
    <row r="630" customFormat="false" ht="15" hidden="false" customHeight="true" outlineLevel="0" collapsed="false">
      <c r="A630" s="24"/>
      <c r="B630" s="39"/>
      <c r="C630" s="24"/>
      <c r="D630" s="24"/>
      <c r="E630" s="40"/>
      <c r="F630" s="29"/>
      <c r="G630" s="30"/>
      <c r="H630" s="17" t="str">
        <f aca="false">IF(A630="","",A630&amp;"|"&amp;COUNTIF(A$5:A630,A630))</f>
        <v/>
      </c>
      <c r="I630" s="33" t="str">
        <f aca="false">IF(A630="","",IFERROR(INDEX(Items!$B$5:$B$304,MATCH(D630,Items!$A$5:$A$304,0))&amp;"",""))</f>
        <v/>
      </c>
      <c r="J630" s="34" t="str">
        <f aca="false">IF(A630="","",IFERROR(INDEX(Items!$C$5:$C$304,MATCH(D630,Items!$A$5:$A$304,0))&amp;"",""))</f>
        <v/>
      </c>
      <c r="K630" s="35" t="n">
        <f aca="false">IF(A630="",0,IF(ISNUMBER(F630),F630,IFERROR(INDEX(Items!$D$5:$D$304,MATCH(D630,Items!$A$5:$A$304,0)),0)))</f>
        <v>0</v>
      </c>
      <c r="L630" s="35" t="n">
        <f aca="false">ROUND(N(E630)*K630*(1-N(G630)),2)</f>
        <v>0</v>
      </c>
      <c r="M630" s="36" t="n">
        <f aca="false">IF(A630="",0,IFERROR(INDEX(Items!$E$5:$E$304,MATCH(D630,Items!$A$5:$A$304,0)),0))</f>
        <v>0</v>
      </c>
      <c r="N630" s="37" t="str">
        <f aca="false">IF(A630="","",IFERROR(INDEX(Customers!$E$5:$E$204,MATCH(C630,Customers!$A$5:$A$204,0)),"?"))</f>
        <v/>
      </c>
      <c r="O630" s="38" t="str">
        <f aca="false">IF(A630="","",IF(N630=Settings!$B$17,"No","Yes"))</f>
        <v/>
      </c>
      <c r="P630" s="35" t="n">
        <f aca="false">IF(O630="Yes",ROUND(L630*M630,2),0)</f>
        <v>0</v>
      </c>
      <c r="Q630" s="35" t="n">
        <f aca="false">IF(O630="No",ROUND(L630*M630/2,2),0)</f>
        <v>0</v>
      </c>
      <c r="R630" s="35" t="n">
        <f aca="false">Q630</f>
        <v>0</v>
      </c>
      <c r="S630" s="35" t="n">
        <f aca="false">L630+P630+Q630+R630</f>
        <v>0</v>
      </c>
      <c r="T630" s="34" t="str">
        <f aca="false">IF(A630="","",IFERROR(INDEX(Customers!$B$5:$B$204,MATCH(C630,Customers!$A$5:$A$204,0))&amp;"",""))</f>
        <v/>
      </c>
      <c r="U630" s="38" t="str">
        <f aca="false">IF(A630="","",IF(T630&lt;&gt;"","B2B",IF(AND(O630="Yes",SUMIF($A$5:$A$1004,A630,$L$5:$L$1004)+SUMIF($A$5:$A$1004,A630,$P$5:$P$1004)&gt;100000),"B2CL","B2CS")))</f>
        <v/>
      </c>
      <c r="V630" s="17" t="str">
        <f aca="false">IF(A630="","",TEXT(B630,"mmm-yyyy"))</f>
        <v/>
      </c>
    </row>
    <row r="631" customFormat="false" ht="15" hidden="false" customHeight="true" outlineLevel="0" collapsed="false">
      <c r="A631" s="24"/>
      <c r="B631" s="39"/>
      <c r="C631" s="24"/>
      <c r="D631" s="24"/>
      <c r="E631" s="40"/>
      <c r="F631" s="29"/>
      <c r="G631" s="30"/>
      <c r="H631" s="17" t="str">
        <f aca="false">IF(A631="","",A631&amp;"|"&amp;COUNTIF(A$5:A631,A631))</f>
        <v/>
      </c>
      <c r="I631" s="33" t="str">
        <f aca="false">IF(A631="","",IFERROR(INDEX(Items!$B$5:$B$304,MATCH(D631,Items!$A$5:$A$304,0))&amp;"",""))</f>
        <v/>
      </c>
      <c r="J631" s="34" t="str">
        <f aca="false">IF(A631="","",IFERROR(INDEX(Items!$C$5:$C$304,MATCH(D631,Items!$A$5:$A$304,0))&amp;"",""))</f>
        <v/>
      </c>
      <c r="K631" s="35" t="n">
        <f aca="false">IF(A631="",0,IF(ISNUMBER(F631),F631,IFERROR(INDEX(Items!$D$5:$D$304,MATCH(D631,Items!$A$5:$A$304,0)),0)))</f>
        <v>0</v>
      </c>
      <c r="L631" s="35" t="n">
        <f aca="false">ROUND(N(E631)*K631*(1-N(G631)),2)</f>
        <v>0</v>
      </c>
      <c r="M631" s="36" t="n">
        <f aca="false">IF(A631="",0,IFERROR(INDEX(Items!$E$5:$E$304,MATCH(D631,Items!$A$5:$A$304,0)),0))</f>
        <v>0</v>
      </c>
      <c r="N631" s="37" t="str">
        <f aca="false">IF(A631="","",IFERROR(INDEX(Customers!$E$5:$E$204,MATCH(C631,Customers!$A$5:$A$204,0)),"?"))</f>
        <v/>
      </c>
      <c r="O631" s="38" t="str">
        <f aca="false">IF(A631="","",IF(N631=Settings!$B$17,"No","Yes"))</f>
        <v/>
      </c>
      <c r="P631" s="35" t="n">
        <f aca="false">IF(O631="Yes",ROUND(L631*M631,2),0)</f>
        <v>0</v>
      </c>
      <c r="Q631" s="35" t="n">
        <f aca="false">IF(O631="No",ROUND(L631*M631/2,2),0)</f>
        <v>0</v>
      </c>
      <c r="R631" s="35" t="n">
        <f aca="false">Q631</f>
        <v>0</v>
      </c>
      <c r="S631" s="35" t="n">
        <f aca="false">L631+P631+Q631+R631</f>
        <v>0</v>
      </c>
      <c r="T631" s="34" t="str">
        <f aca="false">IF(A631="","",IFERROR(INDEX(Customers!$B$5:$B$204,MATCH(C631,Customers!$A$5:$A$204,0))&amp;"",""))</f>
        <v/>
      </c>
      <c r="U631" s="38" t="str">
        <f aca="false">IF(A631="","",IF(T631&lt;&gt;"","B2B",IF(AND(O631="Yes",SUMIF($A$5:$A$1004,A631,$L$5:$L$1004)+SUMIF($A$5:$A$1004,A631,$P$5:$P$1004)&gt;100000),"B2CL","B2CS")))</f>
        <v/>
      </c>
      <c r="V631" s="17" t="str">
        <f aca="false">IF(A631="","",TEXT(B631,"mmm-yyyy"))</f>
        <v/>
      </c>
    </row>
    <row r="632" customFormat="false" ht="15" hidden="false" customHeight="true" outlineLevel="0" collapsed="false">
      <c r="A632" s="24"/>
      <c r="B632" s="39"/>
      <c r="C632" s="24"/>
      <c r="D632" s="24"/>
      <c r="E632" s="40"/>
      <c r="F632" s="29"/>
      <c r="G632" s="30"/>
      <c r="H632" s="17" t="str">
        <f aca="false">IF(A632="","",A632&amp;"|"&amp;COUNTIF(A$5:A632,A632))</f>
        <v/>
      </c>
      <c r="I632" s="33" t="str">
        <f aca="false">IF(A632="","",IFERROR(INDEX(Items!$B$5:$B$304,MATCH(D632,Items!$A$5:$A$304,0))&amp;"",""))</f>
        <v/>
      </c>
      <c r="J632" s="34" t="str">
        <f aca="false">IF(A632="","",IFERROR(INDEX(Items!$C$5:$C$304,MATCH(D632,Items!$A$5:$A$304,0))&amp;"",""))</f>
        <v/>
      </c>
      <c r="K632" s="35" t="n">
        <f aca="false">IF(A632="",0,IF(ISNUMBER(F632),F632,IFERROR(INDEX(Items!$D$5:$D$304,MATCH(D632,Items!$A$5:$A$304,0)),0)))</f>
        <v>0</v>
      </c>
      <c r="L632" s="35" t="n">
        <f aca="false">ROUND(N(E632)*K632*(1-N(G632)),2)</f>
        <v>0</v>
      </c>
      <c r="M632" s="36" t="n">
        <f aca="false">IF(A632="",0,IFERROR(INDEX(Items!$E$5:$E$304,MATCH(D632,Items!$A$5:$A$304,0)),0))</f>
        <v>0</v>
      </c>
      <c r="N632" s="37" t="str">
        <f aca="false">IF(A632="","",IFERROR(INDEX(Customers!$E$5:$E$204,MATCH(C632,Customers!$A$5:$A$204,0)),"?"))</f>
        <v/>
      </c>
      <c r="O632" s="38" t="str">
        <f aca="false">IF(A632="","",IF(N632=Settings!$B$17,"No","Yes"))</f>
        <v/>
      </c>
      <c r="P632" s="35" t="n">
        <f aca="false">IF(O632="Yes",ROUND(L632*M632,2),0)</f>
        <v>0</v>
      </c>
      <c r="Q632" s="35" t="n">
        <f aca="false">IF(O632="No",ROUND(L632*M632/2,2),0)</f>
        <v>0</v>
      </c>
      <c r="R632" s="35" t="n">
        <f aca="false">Q632</f>
        <v>0</v>
      </c>
      <c r="S632" s="35" t="n">
        <f aca="false">L632+P632+Q632+R632</f>
        <v>0</v>
      </c>
      <c r="T632" s="34" t="str">
        <f aca="false">IF(A632="","",IFERROR(INDEX(Customers!$B$5:$B$204,MATCH(C632,Customers!$A$5:$A$204,0))&amp;"",""))</f>
        <v/>
      </c>
      <c r="U632" s="38" t="str">
        <f aca="false">IF(A632="","",IF(T632&lt;&gt;"","B2B",IF(AND(O632="Yes",SUMIF($A$5:$A$1004,A632,$L$5:$L$1004)+SUMIF($A$5:$A$1004,A632,$P$5:$P$1004)&gt;100000),"B2CL","B2CS")))</f>
        <v/>
      </c>
      <c r="V632" s="17" t="str">
        <f aca="false">IF(A632="","",TEXT(B632,"mmm-yyyy"))</f>
        <v/>
      </c>
    </row>
    <row r="633" customFormat="false" ht="15" hidden="false" customHeight="true" outlineLevel="0" collapsed="false">
      <c r="A633" s="24"/>
      <c r="B633" s="39"/>
      <c r="C633" s="24"/>
      <c r="D633" s="24"/>
      <c r="E633" s="40"/>
      <c r="F633" s="29"/>
      <c r="G633" s="30"/>
      <c r="H633" s="17" t="str">
        <f aca="false">IF(A633="","",A633&amp;"|"&amp;COUNTIF(A$5:A633,A633))</f>
        <v/>
      </c>
      <c r="I633" s="33" t="str">
        <f aca="false">IF(A633="","",IFERROR(INDEX(Items!$B$5:$B$304,MATCH(D633,Items!$A$5:$A$304,0))&amp;"",""))</f>
        <v/>
      </c>
      <c r="J633" s="34" t="str">
        <f aca="false">IF(A633="","",IFERROR(INDEX(Items!$C$5:$C$304,MATCH(D633,Items!$A$5:$A$304,0))&amp;"",""))</f>
        <v/>
      </c>
      <c r="K633" s="35" t="n">
        <f aca="false">IF(A633="",0,IF(ISNUMBER(F633),F633,IFERROR(INDEX(Items!$D$5:$D$304,MATCH(D633,Items!$A$5:$A$304,0)),0)))</f>
        <v>0</v>
      </c>
      <c r="L633" s="35" t="n">
        <f aca="false">ROUND(N(E633)*K633*(1-N(G633)),2)</f>
        <v>0</v>
      </c>
      <c r="M633" s="36" t="n">
        <f aca="false">IF(A633="",0,IFERROR(INDEX(Items!$E$5:$E$304,MATCH(D633,Items!$A$5:$A$304,0)),0))</f>
        <v>0</v>
      </c>
      <c r="N633" s="37" t="str">
        <f aca="false">IF(A633="","",IFERROR(INDEX(Customers!$E$5:$E$204,MATCH(C633,Customers!$A$5:$A$204,0)),"?"))</f>
        <v/>
      </c>
      <c r="O633" s="38" t="str">
        <f aca="false">IF(A633="","",IF(N633=Settings!$B$17,"No","Yes"))</f>
        <v/>
      </c>
      <c r="P633" s="35" t="n">
        <f aca="false">IF(O633="Yes",ROUND(L633*M633,2),0)</f>
        <v>0</v>
      </c>
      <c r="Q633" s="35" t="n">
        <f aca="false">IF(O633="No",ROUND(L633*M633/2,2),0)</f>
        <v>0</v>
      </c>
      <c r="R633" s="35" t="n">
        <f aca="false">Q633</f>
        <v>0</v>
      </c>
      <c r="S633" s="35" t="n">
        <f aca="false">L633+P633+Q633+R633</f>
        <v>0</v>
      </c>
      <c r="T633" s="34" t="str">
        <f aca="false">IF(A633="","",IFERROR(INDEX(Customers!$B$5:$B$204,MATCH(C633,Customers!$A$5:$A$204,0))&amp;"",""))</f>
        <v/>
      </c>
      <c r="U633" s="38" t="str">
        <f aca="false">IF(A633="","",IF(T633&lt;&gt;"","B2B",IF(AND(O633="Yes",SUMIF($A$5:$A$1004,A633,$L$5:$L$1004)+SUMIF($A$5:$A$1004,A633,$P$5:$P$1004)&gt;100000),"B2CL","B2CS")))</f>
        <v/>
      </c>
      <c r="V633" s="17" t="str">
        <f aca="false">IF(A633="","",TEXT(B633,"mmm-yyyy"))</f>
        <v/>
      </c>
    </row>
    <row r="634" customFormat="false" ht="15" hidden="false" customHeight="true" outlineLevel="0" collapsed="false">
      <c r="A634" s="24"/>
      <c r="B634" s="39"/>
      <c r="C634" s="24"/>
      <c r="D634" s="24"/>
      <c r="E634" s="40"/>
      <c r="F634" s="29"/>
      <c r="G634" s="30"/>
      <c r="H634" s="17" t="str">
        <f aca="false">IF(A634="","",A634&amp;"|"&amp;COUNTIF(A$5:A634,A634))</f>
        <v/>
      </c>
      <c r="I634" s="33" t="str">
        <f aca="false">IF(A634="","",IFERROR(INDEX(Items!$B$5:$B$304,MATCH(D634,Items!$A$5:$A$304,0))&amp;"",""))</f>
        <v/>
      </c>
      <c r="J634" s="34" t="str">
        <f aca="false">IF(A634="","",IFERROR(INDEX(Items!$C$5:$C$304,MATCH(D634,Items!$A$5:$A$304,0))&amp;"",""))</f>
        <v/>
      </c>
      <c r="K634" s="35" t="n">
        <f aca="false">IF(A634="",0,IF(ISNUMBER(F634),F634,IFERROR(INDEX(Items!$D$5:$D$304,MATCH(D634,Items!$A$5:$A$304,0)),0)))</f>
        <v>0</v>
      </c>
      <c r="L634" s="35" t="n">
        <f aca="false">ROUND(N(E634)*K634*(1-N(G634)),2)</f>
        <v>0</v>
      </c>
      <c r="M634" s="36" t="n">
        <f aca="false">IF(A634="",0,IFERROR(INDEX(Items!$E$5:$E$304,MATCH(D634,Items!$A$5:$A$304,0)),0))</f>
        <v>0</v>
      </c>
      <c r="N634" s="37" t="str">
        <f aca="false">IF(A634="","",IFERROR(INDEX(Customers!$E$5:$E$204,MATCH(C634,Customers!$A$5:$A$204,0)),"?"))</f>
        <v/>
      </c>
      <c r="O634" s="38" t="str">
        <f aca="false">IF(A634="","",IF(N634=Settings!$B$17,"No","Yes"))</f>
        <v/>
      </c>
      <c r="P634" s="35" t="n">
        <f aca="false">IF(O634="Yes",ROUND(L634*M634,2),0)</f>
        <v>0</v>
      </c>
      <c r="Q634" s="35" t="n">
        <f aca="false">IF(O634="No",ROUND(L634*M634/2,2),0)</f>
        <v>0</v>
      </c>
      <c r="R634" s="35" t="n">
        <f aca="false">Q634</f>
        <v>0</v>
      </c>
      <c r="S634" s="35" t="n">
        <f aca="false">L634+P634+Q634+R634</f>
        <v>0</v>
      </c>
      <c r="T634" s="34" t="str">
        <f aca="false">IF(A634="","",IFERROR(INDEX(Customers!$B$5:$B$204,MATCH(C634,Customers!$A$5:$A$204,0))&amp;"",""))</f>
        <v/>
      </c>
      <c r="U634" s="38" t="str">
        <f aca="false">IF(A634="","",IF(T634&lt;&gt;"","B2B",IF(AND(O634="Yes",SUMIF($A$5:$A$1004,A634,$L$5:$L$1004)+SUMIF($A$5:$A$1004,A634,$P$5:$P$1004)&gt;100000),"B2CL","B2CS")))</f>
        <v/>
      </c>
      <c r="V634" s="17" t="str">
        <f aca="false">IF(A634="","",TEXT(B634,"mmm-yyyy"))</f>
        <v/>
      </c>
    </row>
    <row r="635" customFormat="false" ht="15" hidden="false" customHeight="true" outlineLevel="0" collapsed="false">
      <c r="A635" s="24"/>
      <c r="B635" s="39"/>
      <c r="C635" s="24"/>
      <c r="D635" s="24"/>
      <c r="E635" s="40"/>
      <c r="F635" s="29"/>
      <c r="G635" s="30"/>
      <c r="H635" s="17" t="str">
        <f aca="false">IF(A635="","",A635&amp;"|"&amp;COUNTIF(A$5:A635,A635))</f>
        <v/>
      </c>
      <c r="I635" s="33" t="str">
        <f aca="false">IF(A635="","",IFERROR(INDEX(Items!$B$5:$B$304,MATCH(D635,Items!$A$5:$A$304,0))&amp;"",""))</f>
        <v/>
      </c>
      <c r="J635" s="34" t="str">
        <f aca="false">IF(A635="","",IFERROR(INDEX(Items!$C$5:$C$304,MATCH(D635,Items!$A$5:$A$304,0))&amp;"",""))</f>
        <v/>
      </c>
      <c r="K635" s="35" t="n">
        <f aca="false">IF(A635="",0,IF(ISNUMBER(F635),F635,IFERROR(INDEX(Items!$D$5:$D$304,MATCH(D635,Items!$A$5:$A$304,0)),0)))</f>
        <v>0</v>
      </c>
      <c r="L635" s="35" t="n">
        <f aca="false">ROUND(N(E635)*K635*(1-N(G635)),2)</f>
        <v>0</v>
      </c>
      <c r="M635" s="36" t="n">
        <f aca="false">IF(A635="",0,IFERROR(INDEX(Items!$E$5:$E$304,MATCH(D635,Items!$A$5:$A$304,0)),0))</f>
        <v>0</v>
      </c>
      <c r="N635" s="37" t="str">
        <f aca="false">IF(A635="","",IFERROR(INDEX(Customers!$E$5:$E$204,MATCH(C635,Customers!$A$5:$A$204,0)),"?"))</f>
        <v/>
      </c>
      <c r="O635" s="38" t="str">
        <f aca="false">IF(A635="","",IF(N635=Settings!$B$17,"No","Yes"))</f>
        <v/>
      </c>
      <c r="P635" s="35" t="n">
        <f aca="false">IF(O635="Yes",ROUND(L635*M635,2),0)</f>
        <v>0</v>
      </c>
      <c r="Q635" s="35" t="n">
        <f aca="false">IF(O635="No",ROUND(L635*M635/2,2),0)</f>
        <v>0</v>
      </c>
      <c r="R635" s="35" t="n">
        <f aca="false">Q635</f>
        <v>0</v>
      </c>
      <c r="S635" s="35" t="n">
        <f aca="false">L635+P635+Q635+R635</f>
        <v>0</v>
      </c>
      <c r="T635" s="34" t="str">
        <f aca="false">IF(A635="","",IFERROR(INDEX(Customers!$B$5:$B$204,MATCH(C635,Customers!$A$5:$A$204,0))&amp;"",""))</f>
        <v/>
      </c>
      <c r="U635" s="38" t="str">
        <f aca="false">IF(A635="","",IF(T635&lt;&gt;"","B2B",IF(AND(O635="Yes",SUMIF($A$5:$A$1004,A635,$L$5:$L$1004)+SUMIF($A$5:$A$1004,A635,$P$5:$P$1004)&gt;100000),"B2CL","B2CS")))</f>
        <v/>
      </c>
      <c r="V635" s="17" t="str">
        <f aca="false">IF(A635="","",TEXT(B635,"mmm-yyyy"))</f>
        <v/>
      </c>
    </row>
    <row r="636" customFormat="false" ht="15" hidden="false" customHeight="true" outlineLevel="0" collapsed="false">
      <c r="A636" s="24"/>
      <c r="B636" s="39"/>
      <c r="C636" s="24"/>
      <c r="D636" s="24"/>
      <c r="E636" s="40"/>
      <c r="F636" s="29"/>
      <c r="G636" s="30"/>
      <c r="H636" s="17" t="str">
        <f aca="false">IF(A636="","",A636&amp;"|"&amp;COUNTIF(A$5:A636,A636))</f>
        <v/>
      </c>
      <c r="I636" s="33" t="str">
        <f aca="false">IF(A636="","",IFERROR(INDEX(Items!$B$5:$B$304,MATCH(D636,Items!$A$5:$A$304,0))&amp;"",""))</f>
        <v/>
      </c>
      <c r="J636" s="34" t="str">
        <f aca="false">IF(A636="","",IFERROR(INDEX(Items!$C$5:$C$304,MATCH(D636,Items!$A$5:$A$304,0))&amp;"",""))</f>
        <v/>
      </c>
      <c r="K636" s="35" t="n">
        <f aca="false">IF(A636="",0,IF(ISNUMBER(F636),F636,IFERROR(INDEX(Items!$D$5:$D$304,MATCH(D636,Items!$A$5:$A$304,0)),0)))</f>
        <v>0</v>
      </c>
      <c r="L636" s="35" t="n">
        <f aca="false">ROUND(N(E636)*K636*(1-N(G636)),2)</f>
        <v>0</v>
      </c>
      <c r="M636" s="36" t="n">
        <f aca="false">IF(A636="",0,IFERROR(INDEX(Items!$E$5:$E$304,MATCH(D636,Items!$A$5:$A$304,0)),0))</f>
        <v>0</v>
      </c>
      <c r="N636" s="37" t="str">
        <f aca="false">IF(A636="","",IFERROR(INDEX(Customers!$E$5:$E$204,MATCH(C636,Customers!$A$5:$A$204,0)),"?"))</f>
        <v/>
      </c>
      <c r="O636" s="38" t="str">
        <f aca="false">IF(A636="","",IF(N636=Settings!$B$17,"No","Yes"))</f>
        <v/>
      </c>
      <c r="P636" s="35" t="n">
        <f aca="false">IF(O636="Yes",ROUND(L636*M636,2),0)</f>
        <v>0</v>
      </c>
      <c r="Q636" s="35" t="n">
        <f aca="false">IF(O636="No",ROUND(L636*M636/2,2),0)</f>
        <v>0</v>
      </c>
      <c r="R636" s="35" t="n">
        <f aca="false">Q636</f>
        <v>0</v>
      </c>
      <c r="S636" s="35" t="n">
        <f aca="false">L636+P636+Q636+R636</f>
        <v>0</v>
      </c>
      <c r="T636" s="34" t="str">
        <f aca="false">IF(A636="","",IFERROR(INDEX(Customers!$B$5:$B$204,MATCH(C636,Customers!$A$5:$A$204,0))&amp;"",""))</f>
        <v/>
      </c>
      <c r="U636" s="38" t="str">
        <f aca="false">IF(A636="","",IF(T636&lt;&gt;"","B2B",IF(AND(O636="Yes",SUMIF($A$5:$A$1004,A636,$L$5:$L$1004)+SUMIF($A$5:$A$1004,A636,$P$5:$P$1004)&gt;100000),"B2CL","B2CS")))</f>
        <v/>
      </c>
      <c r="V636" s="17" t="str">
        <f aca="false">IF(A636="","",TEXT(B636,"mmm-yyyy"))</f>
        <v/>
      </c>
    </row>
    <row r="637" customFormat="false" ht="15" hidden="false" customHeight="true" outlineLevel="0" collapsed="false">
      <c r="A637" s="24"/>
      <c r="B637" s="39"/>
      <c r="C637" s="24"/>
      <c r="D637" s="24"/>
      <c r="E637" s="40"/>
      <c r="F637" s="29"/>
      <c r="G637" s="30"/>
      <c r="H637" s="17" t="str">
        <f aca="false">IF(A637="","",A637&amp;"|"&amp;COUNTIF(A$5:A637,A637))</f>
        <v/>
      </c>
      <c r="I637" s="33" t="str">
        <f aca="false">IF(A637="","",IFERROR(INDEX(Items!$B$5:$B$304,MATCH(D637,Items!$A$5:$A$304,0))&amp;"",""))</f>
        <v/>
      </c>
      <c r="J637" s="34" t="str">
        <f aca="false">IF(A637="","",IFERROR(INDEX(Items!$C$5:$C$304,MATCH(D637,Items!$A$5:$A$304,0))&amp;"",""))</f>
        <v/>
      </c>
      <c r="K637" s="35" t="n">
        <f aca="false">IF(A637="",0,IF(ISNUMBER(F637),F637,IFERROR(INDEX(Items!$D$5:$D$304,MATCH(D637,Items!$A$5:$A$304,0)),0)))</f>
        <v>0</v>
      </c>
      <c r="L637" s="35" t="n">
        <f aca="false">ROUND(N(E637)*K637*(1-N(G637)),2)</f>
        <v>0</v>
      </c>
      <c r="M637" s="36" t="n">
        <f aca="false">IF(A637="",0,IFERROR(INDEX(Items!$E$5:$E$304,MATCH(D637,Items!$A$5:$A$304,0)),0))</f>
        <v>0</v>
      </c>
      <c r="N637" s="37" t="str">
        <f aca="false">IF(A637="","",IFERROR(INDEX(Customers!$E$5:$E$204,MATCH(C637,Customers!$A$5:$A$204,0)),"?"))</f>
        <v/>
      </c>
      <c r="O637" s="38" t="str">
        <f aca="false">IF(A637="","",IF(N637=Settings!$B$17,"No","Yes"))</f>
        <v/>
      </c>
      <c r="P637" s="35" t="n">
        <f aca="false">IF(O637="Yes",ROUND(L637*M637,2),0)</f>
        <v>0</v>
      </c>
      <c r="Q637" s="35" t="n">
        <f aca="false">IF(O637="No",ROUND(L637*M637/2,2),0)</f>
        <v>0</v>
      </c>
      <c r="R637" s="35" t="n">
        <f aca="false">Q637</f>
        <v>0</v>
      </c>
      <c r="S637" s="35" t="n">
        <f aca="false">L637+P637+Q637+R637</f>
        <v>0</v>
      </c>
      <c r="T637" s="34" t="str">
        <f aca="false">IF(A637="","",IFERROR(INDEX(Customers!$B$5:$B$204,MATCH(C637,Customers!$A$5:$A$204,0))&amp;"",""))</f>
        <v/>
      </c>
      <c r="U637" s="38" t="str">
        <f aca="false">IF(A637="","",IF(T637&lt;&gt;"","B2B",IF(AND(O637="Yes",SUMIF($A$5:$A$1004,A637,$L$5:$L$1004)+SUMIF($A$5:$A$1004,A637,$P$5:$P$1004)&gt;100000),"B2CL","B2CS")))</f>
        <v/>
      </c>
      <c r="V637" s="17" t="str">
        <f aca="false">IF(A637="","",TEXT(B637,"mmm-yyyy"))</f>
        <v/>
      </c>
    </row>
    <row r="638" customFormat="false" ht="15" hidden="false" customHeight="true" outlineLevel="0" collapsed="false">
      <c r="A638" s="24"/>
      <c r="B638" s="39"/>
      <c r="C638" s="24"/>
      <c r="D638" s="24"/>
      <c r="E638" s="40"/>
      <c r="F638" s="29"/>
      <c r="G638" s="30"/>
      <c r="H638" s="17" t="str">
        <f aca="false">IF(A638="","",A638&amp;"|"&amp;COUNTIF(A$5:A638,A638))</f>
        <v/>
      </c>
      <c r="I638" s="33" t="str">
        <f aca="false">IF(A638="","",IFERROR(INDEX(Items!$B$5:$B$304,MATCH(D638,Items!$A$5:$A$304,0))&amp;"",""))</f>
        <v/>
      </c>
      <c r="J638" s="34" t="str">
        <f aca="false">IF(A638="","",IFERROR(INDEX(Items!$C$5:$C$304,MATCH(D638,Items!$A$5:$A$304,0))&amp;"",""))</f>
        <v/>
      </c>
      <c r="K638" s="35" t="n">
        <f aca="false">IF(A638="",0,IF(ISNUMBER(F638),F638,IFERROR(INDEX(Items!$D$5:$D$304,MATCH(D638,Items!$A$5:$A$304,0)),0)))</f>
        <v>0</v>
      </c>
      <c r="L638" s="35" t="n">
        <f aca="false">ROUND(N(E638)*K638*(1-N(G638)),2)</f>
        <v>0</v>
      </c>
      <c r="M638" s="36" t="n">
        <f aca="false">IF(A638="",0,IFERROR(INDEX(Items!$E$5:$E$304,MATCH(D638,Items!$A$5:$A$304,0)),0))</f>
        <v>0</v>
      </c>
      <c r="N638" s="37" t="str">
        <f aca="false">IF(A638="","",IFERROR(INDEX(Customers!$E$5:$E$204,MATCH(C638,Customers!$A$5:$A$204,0)),"?"))</f>
        <v/>
      </c>
      <c r="O638" s="38" t="str">
        <f aca="false">IF(A638="","",IF(N638=Settings!$B$17,"No","Yes"))</f>
        <v/>
      </c>
      <c r="P638" s="35" t="n">
        <f aca="false">IF(O638="Yes",ROUND(L638*M638,2),0)</f>
        <v>0</v>
      </c>
      <c r="Q638" s="35" t="n">
        <f aca="false">IF(O638="No",ROUND(L638*M638/2,2),0)</f>
        <v>0</v>
      </c>
      <c r="R638" s="35" t="n">
        <f aca="false">Q638</f>
        <v>0</v>
      </c>
      <c r="S638" s="35" t="n">
        <f aca="false">L638+P638+Q638+R638</f>
        <v>0</v>
      </c>
      <c r="T638" s="34" t="str">
        <f aca="false">IF(A638="","",IFERROR(INDEX(Customers!$B$5:$B$204,MATCH(C638,Customers!$A$5:$A$204,0))&amp;"",""))</f>
        <v/>
      </c>
      <c r="U638" s="38" t="str">
        <f aca="false">IF(A638="","",IF(T638&lt;&gt;"","B2B",IF(AND(O638="Yes",SUMIF($A$5:$A$1004,A638,$L$5:$L$1004)+SUMIF($A$5:$A$1004,A638,$P$5:$P$1004)&gt;100000),"B2CL","B2CS")))</f>
        <v/>
      </c>
      <c r="V638" s="17" t="str">
        <f aca="false">IF(A638="","",TEXT(B638,"mmm-yyyy"))</f>
        <v/>
      </c>
    </row>
    <row r="639" customFormat="false" ht="15" hidden="false" customHeight="true" outlineLevel="0" collapsed="false">
      <c r="A639" s="24"/>
      <c r="B639" s="39"/>
      <c r="C639" s="24"/>
      <c r="D639" s="24"/>
      <c r="E639" s="40"/>
      <c r="F639" s="29"/>
      <c r="G639" s="30"/>
      <c r="H639" s="17" t="str">
        <f aca="false">IF(A639="","",A639&amp;"|"&amp;COUNTIF(A$5:A639,A639))</f>
        <v/>
      </c>
      <c r="I639" s="33" t="str">
        <f aca="false">IF(A639="","",IFERROR(INDEX(Items!$B$5:$B$304,MATCH(D639,Items!$A$5:$A$304,0))&amp;"",""))</f>
        <v/>
      </c>
      <c r="J639" s="34" t="str">
        <f aca="false">IF(A639="","",IFERROR(INDEX(Items!$C$5:$C$304,MATCH(D639,Items!$A$5:$A$304,0))&amp;"",""))</f>
        <v/>
      </c>
      <c r="K639" s="35" t="n">
        <f aca="false">IF(A639="",0,IF(ISNUMBER(F639),F639,IFERROR(INDEX(Items!$D$5:$D$304,MATCH(D639,Items!$A$5:$A$304,0)),0)))</f>
        <v>0</v>
      </c>
      <c r="L639" s="35" t="n">
        <f aca="false">ROUND(N(E639)*K639*(1-N(G639)),2)</f>
        <v>0</v>
      </c>
      <c r="M639" s="36" t="n">
        <f aca="false">IF(A639="",0,IFERROR(INDEX(Items!$E$5:$E$304,MATCH(D639,Items!$A$5:$A$304,0)),0))</f>
        <v>0</v>
      </c>
      <c r="N639" s="37" t="str">
        <f aca="false">IF(A639="","",IFERROR(INDEX(Customers!$E$5:$E$204,MATCH(C639,Customers!$A$5:$A$204,0)),"?"))</f>
        <v/>
      </c>
      <c r="O639" s="38" t="str">
        <f aca="false">IF(A639="","",IF(N639=Settings!$B$17,"No","Yes"))</f>
        <v/>
      </c>
      <c r="P639" s="35" t="n">
        <f aca="false">IF(O639="Yes",ROUND(L639*M639,2),0)</f>
        <v>0</v>
      </c>
      <c r="Q639" s="35" t="n">
        <f aca="false">IF(O639="No",ROUND(L639*M639/2,2),0)</f>
        <v>0</v>
      </c>
      <c r="R639" s="35" t="n">
        <f aca="false">Q639</f>
        <v>0</v>
      </c>
      <c r="S639" s="35" t="n">
        <f aca="false">L639+P639+Q639+R639</f>
        <v>0</v>
      </c>
      <c r="T639" s="34" t="str">
        <f aca="false">IF(A639="","",IFERROR(INDEX(Customers!$B$5:$B$204,MATCH(C639,Customers!$A$5:$A$204,0))&amp;"",""))</f>
        <v/>
      </c>
      <c r="U639" s="38" t="str">
        <f aca="false">IF(A639="","",IF(T639&lt;&gt;"","B2B",IF(AND(O639="Yes",SUMIF($A$5:$A$1004,A639,$L$5:$L$1004)+SUMIF($A$5:$A$1004,A639,$P$5:$P$1004)&gt;100000),"B2CL","B2CS")))</f>
        <v/>
      </c>
      <c r="V639" s="17" t="str">
        <f aca="false">IF(A639="","",TEXT(B639,"mmm-yyyy"))</f>
        <v/>
      </c>
    </row>
    <row r="640" customFormat="false" ht="15" hidden="false" customHeight="true" outlineLevel="0" collapsed="false">
      <c r="A640" s="24"/>
      <c r="B640" s="39"/>
      <c r="C640" s="24"/>
      <c r="D640" s="24"/>
      <c r="E640" s="40"/>
      <c r="F640" s="29"/>
      <c r="G640" s="30"/>
      <c r="H640" s="17" t="str">
        <f aca="false">IF(A640="","",A640&amp;"|"&amp;COUNTIF(A$5:A640,A640))</f>
        <v/>
      </c>
      <c r="I640" s="33" t="str">
        <f aca="false">IF(A640="","",IFERROR(INDEX(Items!$B$5:$B$304,MATCH(D640,Items!$A$5:$A$304,0))&amp;"",""))</f>
        <v/>
      </c>
      <c r="J640" s="34" t="str">
        <f aca="false">IF(A640="","",IFERROR(INDEX(Items!$C$5:$C$304,MATCH(D640,Items!$A$5:$A$304,0))&amp;"",""))</f>
        <v/>
      </c>
      <c r="K640" s="35" t="n">
        <f aca="false">IF(A640="",0,IF(ISNUMBER(F640),F640,IFERROR(INDEX(Items!$D$5:$D$304,MATCH(D640,Items!$A$5:$A$304,0)),0)))</f>
        <v>0</v>
      </c>
      <c r="L640" s="35" t="n">
        <f aca="false">ROUND(N(E640)*K640*(1-N(G640)),2)</f>
        <v>0</v>
      </c>
      <c r="M640" s="36" t="n">
        <f aca="false">IF(A640="",0,IFERROR(INDEX(Items!$E$5:$E$304,MATCH(D640,Items!$A$5:$A$304,0)),0))</f>
        <v>0</v>
      </c>
      <c r="N640" s="37" t="str">
        <f aca="false">IF(A640="","",IFERROR(INDEX(Customers!$E$5:$E$204,MATCH(C640,Customers!$A$5:$A$204,0)),"?"))</f>
        <v/>
      </c>
      <c r="O640" s="38" t="str">
        <f aca="false">IF(A640="","",IF(N640=Settings!$B$17,"No","Yes"))</f>
        <v/>
      </c>
      <c r="P640" s="35" t="n">
        <f aca="false">IF(O640="Yes",ROUND(L640*M640,2),0)</f>
        <v>0</v>
      </c>
      <c r="Q640" s="35" t="n">
        <f aca="false">IF(O640="No",ROUND(L640*M640/2,2),0)</f>
        <v>0</v>
      </c>
      <c r="R640" s="35" t="n">
        <f aca="false">Q640</f>
        <v>0</v>
      </c>
      <c r="S640" s="35" t="n">
        <f aca="false">L640+P640+Q640+R640</f>
        <v>0</v>
      </c>
      <c r="T640" s="34" t="str">
        <f aca="false">IF(A640="","",IFERROR(INDEX(Customers!$B$5:$B$204,MATCH(C640,Customers!$A$5:$A$204,0))&amp;"",""))</f>
        <v/>
      </c>
      <c r="U640" s="38" t="str">
        <f aca="false">IF(A640="","",IF(T640&lt;&gt;"","B2B",IF(AND(O640="Yes",SUMIF($A$5:$A$1004,A640,$L$5:$L$1004)+SUMIF($A$5:$A$1004,A640,$P$5:$P$1004)&gt;100000),"B2CL","B2CS")))</f>
        <v/>
      </c>
      <c r="V640" s="17" t="str">
        <f aca="false">IF(A640="","",TEXT(B640,"mmm-yyyy"))</f>
        <v/>
      </c>
    </row>
    <row r="641" customFormat="false" ht="15" hidden="false" customHeight="true" outlineLevel="0" collapsed="false">
      <c r="A641" s="24"/>
      <c r="B641" s="39"/>
      <c r="C641" s="24"/>
      <c r="D641" s="24"/>
      <c r="E641" s="40"/>
      <c r="F641" s="29"/>
      <c r="G641" s="30"/>
      <c r="H641" s="17" t="str">
        <f aca="false">IF(A641="","",A641&amp;"|"&amp;COUNTIF(A$5:A641,A641))</f>
        <v/>
      </c>
      <c r="I641" s="33" t="str">
        <f aca="false">IF(A641="","",IFERROR(INDEX(Items!$B$5:$B$304,MATCH(D641,Items!$A$5:$A$304,0))&amp;"",""))</f>
        <v/>
      </c>
      <c r="J641" s="34" t="str">
        <f aca="false">IF(A641="","",IFERROR(INDEX(Items!$C$5:$C$304,MATCH(D641,Items!$A$5:$A$304,0))&amp;"",""))</f>
        <v/>
      </c>
      <c r="K641" s="35" t="n">
        <f aca="false">IF(A641="",0,IF(ISNUMBER(F641),F641,IFERROR(INDEX(Items!$D$5:$D$304,MATCH(D641,Items!$A$5:$A$304,0)),0)))</f>
        <v>0</v>
      </c>
      <c r="L641" s="35" t="n">
        <f aca="false">ROUND(N(E641)*K641*(1-N(G641)),2)</f>
        <v>0</v>
      </c>
      <c r="M641" s="36" t="n">
        <f aca="false">IF(A641="",0,IFERROR(INDEX(Items!$E$5:$E$304,MATCH(D641,Items!$A$5:$A$304,0)),0))</f>
        <v>0</v>
      </c>
      <c r="N641" s="37" t="str">
        <f aca="false">IF(A641="","",IFERROR(INDEX(Customers!$E$5:$E$204,MATCH(C641,Customers!$A$5:$A$204,0)),"?"))</f>
        <v/>
      </c>
      <c r="O641" s="38" t="str">
        <f aca="false">IF(A641="","",IF(N641=Settings!$B$17,"No","Yes"))</f>
        <v/>
      </c>
      <c r="P641" s="35" t="n">
        <f aca="false">IF(O641="Yes",ROUND(L641*M641,2),0)</f>
        <v>0</v>
      </c>
      <c r="Q641" s="35" t="n">
        <f aca="false">IF(O641="No",ROUND(L641*M641/2,2),0)</f>
        <v>0</v>
      </c>
      <c r="R641" s="35" t="n">
        <f aca="false">Q641</f>
        <v>0</v>
      </c>
      <c r="S641" s="35" t="n">
        <f aca="false">L641+P641+Q641+R641</f>
        <v>0</v>
      </c>
      <c r="T641" s="34" t="str">
        <f aca="false">IF(A641="","",IFERROR(INDEX(Customers!$B$5:$B$204,MATCH(C641,Customers!$A$5:$A$204,0))&amp;"",""))</f>
        <v/>
      </c>
      <c r="U641" s="38" t="str">
        <f aca="false">IF(A641="","",IF(T641&lt;&gt;"","B2B",IF(AND(O641="Yes",SUMIF($A$5:$A$1004,A641,$L$5:$L$1004)+SUMIF($A$5:$A$1004,A641,$P$5:$P$1004)&gt;100000),"B2CL","B2CS")))</f>
        <v/>
      </c>
      <c r="V641" s="17" t="str">
        <f aca="false">IF(A641="","",TEXT(B641,"mmm-yyyy"))</f>
        <v/>
      </c>
    </row>
    <row r="642" customFormat="false" ht="15" hidden="false" customHeight="true" outlineLevel="0" collapsed="false">
      <c r="A642" s="24"/>
      <c r="B642" s="39"/>
      <c r="C642" s="24"/>
      <c r="D642" s="24"/>
      <c r="E642" s="40"/>
      <c r="F642" s="29"/>
      <c r="G642" s="30"/>
      <c r="H642" s="17" t="str">
        <f aca="false">IF(A642="","",A642&amp;"|"&amp;COUNTIF(A$5:A642,A642))</f>
        <v/>
      </c>
      <c r="I642" s="33" t="str">
        <f aca="false">IF(A642="","",IFERROR(INDEX(Items!$B$5:$B$304,MATCH(D642,Items!$A$5:$A$304,0))&amp;"",""))</f>
        <v/>
      </c>
      <c r="J642" s="34" t="str">
        <f aca="false">IF(A642="","",IFERROR(INDEX(Items!$C$5:$C$304,MATCH(D642,Items!$A$5:$A$304,0))&amp;"",""))</f>
        <v/>
      </c>
      <c r="K642" s="35" t="n">
        <f aca="false">IF(A642="",0,IF(ISNUMBER(F642),F642,IFERROR(INDEX(Items!$D$5:$D$304,MATCH(D642,Items!$A$5:$A$304,0)),0)))</f>
        <v>0</v>
      </c>
      <c r="L642" s="35" t="n">
        <f aca="false">ROUND(N(E642)*K642*(1-N(G642)),2)</f>
        <v>0</v>
      </c>
      <c r="M642" s="36" t="n">
        <f aca="false">IF(A642="",0,IFERROR(INDEX(Items!$E$5:$E$304,MATCH(D642,Items!$A$5:$A$304,0)),0))</f>
        <v>0</v>
      </c>
      <c r="N642" s="37" t="str">
        <f aca="false">IF(A642="","",IFERROR(INDEX(Customers!$E$5:$E$204,MATCH(C642,Customers!$A$5:$A$204,0)),"?"))</f>
        <v/>
      </c>
      <c r="O642" s="38" t="str">
        <f aca="false">IF(A642="","",IF(N642=Settings!$B$17,"No","Yes"))</f>
        <v/>
      </c>
      <c r="P642" s="35" t="n">
        <f aca="false">IF(O642="Yes",ROUND(L642*M642,2),0)</f>
        <v>0</v>
      </c>
      <c r="Q642" s="35" t="n">
        <f aca="false">IF(O642="No",ROUND(L642*M642/2,2),0)</f>
        <v>0</v>
      </c>
      <c r="R642" s="35" t="n">
        <f aca="false">Q642</f>
        <v>0</v>
      </c>
      <c r="S642" s="35" t="n">
        <f aca="false">L642+P642+Q642+R642</f>
        <v>0</v>
      </c>
      <c r="T642" s="34" t="str">
        <f aca="false">IF(A642="","",IFERROR(INDEX(Customers!$B$5:$B$204,MATCH(C642,Customers!$A$5:$A$204,0))&amp;"",""))</f>
        <v/>
      </c>
      <c r="U642" s="38" t="str">
        <f aca="false">IF(A642="","",IF(T642&lt;&gt;"","B2B",IF(AND(O642="Yes",SUMIF($A$5:$A$1004,A642,$L$5:$L$1004)+SUMIF($A$5:$A$1004,A642,$P$5:$P$1004)&gt;100000),"B2CL","B2CS")))</f>
        <v/>
      </c>
      <c r="V642" s="17" t="str">
        <f aca="false">IF(A642="","",TEXT(B642,"mmm-yyyy"))</f>
        <v/>
      </c>
    </row>
    <row r="643" customFormat="false" ht="15" hidden="false" customHeight="true" outlineLevel="0" collapsed="false">
      <c r="A643" s="24"/>
      <c r="B643" s="39"/>
      <c r="C643" s="24"/>
      <c r="D643" s="24"/>
      <c r="E643" s="40"/>
      <c r="F643" s="29"/>
      <c r="G643" s="30"/>
      <c r="H643" s="17" t="str">
        <f aca="false">IF(A643="","",A643&amp;"|"&amp;COUNTIF(A$5:A643,A643))</f>
        <v/>
      </c>
      <c r="I643" s="33" t="str">
        <f aca="false">IF(A643="","",IFERROR(INDEX(Items!$B$5:$B$304,MATCH(D643,Items!$A$5:$A$304,0))&amp;"",""))</f>
        <v/>
      </c>
      <c r="J643" s="34" t="str">
        <f aca="false">IF(A643="","",IFERROR(INDEX(Items!$C$5:$C$304,MATCH(D643,Items!$A$5:$A$304,0))&amp;"",""))</f>
        <v/>
      </c>
      <c r="K643" s="35" t="n">
        <f aca="false">IF(A643="",0,IF(ISNUMBER(F643),F643,IFERROR(INDEX(Items!$D$5:$D$304,MATCH(D643,Items!$A$5:$A$304,0)),0)))</f>
        <v>0</v>
      </c>
      <c r="L643" s="35" t="n">
        <f aca="false">ROUND(N(E643)*K643*(1-N(G643)),2)</f>
        <v>0</v>
      </c>
      <c r="M643" s="36" t="n">
        <f aca="false">IF(A643="",0,IFERROR(INDEX(Items!$E$5:$E$304,MATCH(D643,Items!$A$5:$A$304,0)),0))</f>
        <v>0</v>
      </c>
      <c r="N643" s="37" t="str">
        <f aca="false">IF(A643="","",IFERROR(INDEX(Customers!$E$5:$E$204,MATCH(C643,Customers!$A$5:$A$204,0)),"?"))</f>
        <v/>
      </c>
      <c r="O643" s="38" t="str">
        <f aca="false">IF(A643="","",IF(N643=Settings!$B$17,"No","Yes"))</f>
        <v/>
      </c>
      <c r="P643" s="35" t="n">
        <f aca="false">IF(O643="Yes",ROUND(L643*M643,2),0)</f>
        <v>0</v>
      </c>
      <c r="Q643" s="35" t="n">
        <f aca="false">IF(O643="No",ROUND(L643*M643/2,2),0)</f>
        <v>0</v>
      </c>
      <c r="R643" s="35" t="n">
        <f aca="false">Q643</f>
        <v>0</v>
      </c>
      <c r="S643" s="35" t="n">
        <f aca="false">L643+P643+Q643+R643</f>
        <v>0</v>
      </c>
      <c r="T643" s="34" t="str">
        <f aca="false">IF(A643="","",IFERROR(INDEX(Customers!$B$5:$B$204,MATCH(C643,Customers!$A$5:$A$204,0))&amp;"",""))</f>
        <v/>
      </c>
      <c r="U643" s="38" t="str">
        <f aca="false">IF(A643="","",IF(T643&lt;&gt;"","B2B",IF(AND(O643="Yes",SUMIF($A$5:$A$1004,A643,$L$5:$L$1004)+SUMIF($A$5:$A$1004,A643,$P$5:$P$1004)&gt;100000),"B2CL","B2CS")))</f>
        <v/>
      </c>
      <c r="V643" s="17" t="str">
        <f aca="false">IF(A643="","",TEXT(B643,"mmm-yyyy"))</f>
        <v/>
      </c>
    </row>
    <row r="644" customFormat="false" ht="15" hidden="false" customHeight="true" outlineLevel="0" collapsed="false">
      <c r="A644" s="24"/>
      <c r="B644" s="39"/>
      <c r="C644" s="24"/>
      <c r="D644" s="24"/>
      <c r="E644" s="40"/>
      <c r="F644" s="29"/>
      <c r="G644" s="30"/>
      <c r="H644" s="17" t="str">
        <f aca="false">IF(A644="","",A644&amp;"|"&amp;COUNTIF(A$5:A644,A644))</f>
        <v/>
      </c>
      <c r="I644" s="33" t="str">
        <f aca="false">IF(A644="","",IFERROR(INDEX(Items!$B$5:$B$304,MATCH(D644,Items!$A$5:$A$304,0))&amp;"",""))</f>
        <v/>
      </c>
      <c r="J644" s="34" t="str">
        <f aca="false">IF(A644="","",IFERROR(INDEX(Items!$C$5:$C$304,MATCH(D644,Items!$A$5:$A$304,0))&amp;"",""))</f>
        <v/>
      </c>
      <c r="K644" s="35" t="n">
        <f aca="false">IF(A644="",0,IF(ISNUMBER(F644),F644,IFERROR(INDEX(Items!$D$5:$D$304,MATCH(D644,Items!$A$5:$A$304,0)),0)))</f>
        <v>0</v>
      </c>
      <c r="L644" s="35" t="n">
        <f aca="false">ROUND(N(E644)*K644*(1-N(G644)),2)</f>
        <v>0</v>
      </c>
      <c r="M644" s="36" t="n">
        <f aca="false">IF(A644="",0,IFERROR(INDEX(Items!$E$5:$E$304,MATCH(D644,Items!$A$5:$A$304,0)),0))</f>
        <v>0</v>
      </c>
      <c r="N644" s="37" t="str">
        <f aca="false">IF(A644="","",IFERROR(INDEX(Customers!$E$5:$E$204,MATCH(C644,Customers!$A$5:$A$204,0)),"?"))</f>
        <v/>
      </c>
      <c r="O644" s="38" t="str">
        <f aca="false">IF(A644="","",IF(N644=Settings!$B$17,"No","Yes"))</f>
        <v/>
      </c>
      <c r="P644" s="35" t="n">
        <f aca="false">IF(O644="Yes",ROUND(L644*M644,2),0)</f>
        <v>0</v>
      </c>
      <c r="Q644" s="35" t="n">
        <f aca="false">IF(O644="No",ROUND(L644*M644/2,2),0)</f>
        <v>0</v>
      </c>
      <c r="R644" s="35" t="n">
        <f aca="false">Q644</f>
        <v>0</v>
      </c>
      <c r="S644" s="35" t="n">
        <f aca="false">L644+P644+Q644+R644</f>
        <v>0</v>
      </c>
      <c r="T644" s="34" t="str">
        <f aca="false">IF(A644="","",IFERROR(INDEX(Customers!$B$5:$B$204,MATCH(C644,Customers!$A$5:$A$204,0))&amp;"",""))</f>
        <v/>
      </c>
      <c r="U644" s="38" t="str">
        <f aca="false">IF(A644="","",IF(T644&lt;&gt;"","B2B",IF(AND(O644="Yes",SUMIF($A$5:$A$1004,A644,$L$5:$L$1004)+SUMIF($A$5:$A$1004,A644,$P$5:$P$1004)&gt;100000),"B2CL","B2CS")))</f>
        <v/>
      </c>
      <c r="V644" s="17" t="str">
        <f aca="false">IF(A644="","",TEXT(B644,"mmm-yyyy"))</f>
        <v/>
      </c>
    </row>
    <row r="645" customFormat="false" ht="15" hidden="false" customHeight="true" outlineLevel="0" collapsed="false">
      <c r="A645" s="24"/>
      <c r="B645" s="39"/>
      <c r="C645" s="24"/>
      <c r="D645" s="24"/>
      <c r="E645" s="40"/>
      <c r="F645" s="29"/>
      <c r="G645" s="30"/>
      <c r="H645" s="17" t="str">
        <f aca="false">IF(A645="","",A645&amp;"|"&amp;COUNTIF(A$5:A645,A645))</f>
        <v/>
      </c>
      <c r="I645" s="33" t="str">
        <f aca="false">IF(A645="","",IFERROR(INDEX(Items!$B$5:$B$304,MATCH(D645,Items!$A$5:$A$304,0))&amp;"",""))</f>
        <v/>
      </c>
      <c r="J645" s="34" t="str">
        <f aca="false">IF(A645="","",IFERROR(INDEX(Items!$C$5:$C$304,MATCH(D645,Items!$A$5:$A$304,0))&amp;"",""))</f>
        <v/>
      </c>
      <c r="K645" s="35" t="n">
        <f aca="false">IF(A645="",0,IF(ISNUMBER(F645),F645,IFERROR(INDEX(Items!$D$5:$D$304,MATCH(D645,Items!$A$5:$A$304,0)),0)))</f>
        <v>0</v>
      </c>
      <c r="L645" s="35" t="n">
        <f aca="false">ROUND(N(E645)*K645*(1-N(G645)),2)</f>
        <v>0</v>
      </c>
      <c r="M645" s="36" t="n">
        <f aca="false">IF(A645="",0,IFERROR(INDEX(Items!$E$5:$E$304,MATCH(D645,Items!$A$5:$A$304,0)),0))</f>
        <v>0</v>
      </c>
      <c r="N645" s="37" t="str">
        <f aca="false">IF(A645="","",IFERROR(INDEX(Customers!$E$5:$E$204,MATCH(C645,Customers!$A$5:$A$204,0)),"?"))</f>
        <v/>
      </c>
      <c r="O645" s="38" t="str">
        <f aca="false">IF(A645="","",IF(N645=Settings!$B$17,"No","Yes"))</f>
        <v/>
      </c>
      <c r="P645" s="35" t="n">
        <f aca="false">IF(O645="Yes",ROUND(L645*M645,2),0)</f>
        <v>0</v>
      </c>
      <c r="Q645" s="35" t="n">
        <f aca="false">IF(O645="No",ROUND(L645*M645/2,2),0)</f>
        <v>0</v>
      </c>
      <c r="R645" s="35" t="n">
        <f aca="false">Q645</f>
        <v>0</v>
      </c>
      <c r="S645" s="35" t="n">
        <f aca="false">L645+P645+Q645+R645</f>
        <v>0</v>
      </c>
      <c r="T645" s="34" t="str">
        <f aca="false">IF(A645="","",IFERROR(INDEX(Customers!$B$5:$B$204,MATCH(C645,Customers!$A$5:$A$204,0))&amp;"",""))</f>
        <v/>
      </c>
      <c r="U645" s="38" t="str">
        <f aca="false">IF(A645="","",IF(T645&lt;&gt;"","B2B",IF(AND(O645="Yes",SUMIF($A$5:$A$1004,A645,$L$5:$L$1004)+SUMIF($A$5:$A$1004,A645,$P$5:$P$1004)&gt;100000),"B2CL","B2CS")))</f>
        <v/>
      </c>
      <c r="V645" s="17" t="str">
        <f aca="false">IF(A645="","",TEXT(B645,"mmm-yyyy"))</f>
        <v/>
      </c>
    </row>
    <row r="646" customFormat="false" ht="15" hidden="false" customHeight="true" outlineLevel="0" collapsed="false">
      <c r="A646" s="24"/>
      <c r="B646" s="39"/>
      <c r="C646" s="24"/>
      <c r="D646" s="24"/>
      <c r="E646" s="40"/>
      <c r="F646" s="29"/>
      <c r="G646" s="30"/>
      <c r="H646" s="17" t="str">
        <f aca="false">IF(A646="","",A646&amp;"|"&amp;COUNTIF(A$5:A646,A646))</f>
        <v/>
      </c>
      <c r="I646" s="33" t="str">
        <f aca="false">IF(A646="","",IFERROR(INDEX(Items!$B$5:$B$304,MATCH(D646,Items!$A$5:$A$304,0))&amp;"",""))</f>
        <v/>
      </c>
      <c r="J646" s="34" t="str">
        <f aca="false">IF(A646="","",IFERROR(INDEX(Items!$C$5:$C$304,MATCH(D646,Items!$A$5:$A$304,0))&amp;"",""))</f>
        <v/>
      </c>
      <c r="K646" s="35" t="n">
        <f aca="false">IF(A646="",0,IF(ISNUMBER(F646),F646,IFERROR(INDEX(Items!$D$5:$D$304,MATCH(D646,Items!$A$5:$A$304,0)),0)))</f>
        <v>0</v>
      </c>
      <c r="L646" s="35" t="n">
        <f aca="false">ROUND(N(E646)*K646*(1-N(G646)),2)</f>
        <v>0</v>
      </c>
      <c r="M646" s="36" t="n">
        <f aca="false">IF(A646="",0,IFERROR(INDEX(Items!$E$5:$E$304,MATCH(D646,Items!$A$5:$A$304,0)),0))</f>
        <v>0</v>
      </c>
      <c r="N646" s="37" t="str">
        <f aca="false">IF(A646="","",IFERROR(INDEX(Customers!$E$5:$E$204,MATCH(C646,Customers!$A$5:$A$204,0)),"?"))</f>
        <v/>
      </c>
      <c r="O646" s="38" t="str">
        <f aca="false">IF(A646="","",IF(N646=Settings!$B$17,"No","Yes"))</f>
        <v/>
      </c>
      <c r="P646" s="35" t="n">
        <f aca="false">IF(O646="Yes",ROUND(L646*M646,2),0)</f>
        <v>0</v>
      </c>
      <c r="Q646" s="35" t="n">
        <f aca="false">IF(O646="No",ROUND(L646*M646/2,2),0)</f>
        <v>0</v>
      </c>
      <c r="R646" s="35" t="n">
        <f aca="false">Q646</f>
        <v>0</v>
      </c>
      <c r="S646" s="35" t="n">
        <f aca="false">L646+P646+Q646+R646</f>
        <v>0</v>
      </c>
      <c r="T646" s="34" t="str">
        <f aca="false">IF(A646="","",IFERROR(INDEX(Customers!$B$5:$B$204,MATCH(C646,Customers!$A$5:$A$204,0))&amp;"",""))</f>
        <v/>
      </c>
      <c r="U646" s="38" t="str">
        <f aca="false">IF(A646="","",IF(T646&lt;&gt;"","B2B",IF(AND(O646="Yes",SUMIF($A$5:$A$1004,A646,$L$5:$L$1004)+SUMIF($A$5:$A$1004,A646,$P$5:$P$1004)&gt;100000),"B2CL","B2CS")))</f>
        <v/>
      </c>
      <c r="V646" s="17" t="str">
        <f aca="false">IF(A646="","",TEXT(B646,"mmm-yyyy"))</f>
        <v/>
      </c>
    </row>
    <row r="647" customFormat="false" ht="15" hidden="false" customHeight="true" outlineLevel="0" collapsed="false">
      <c r="A647" s="24"/>
      <c r="B647" s="39"/>
      <c r="C647" s="24"/>
      <c r="D647" s="24"/>
      <c r="E647" s="40"/>
      <c r="F647" s="29"/>
      <c r="G647" s="30"/>
      <c r="H647" s="17" t="str">
        <f aca="false">IF(A647="","",A647&amp;"|"&amp;COUNTIF(A$5:A647,A647))</f>
        <v/>
      </c>
      <c r="I647" s="33" t="str">
        <f aca="false">IF(A647="","",IFERROR(INDEX(Items!$B$5:$B$304,MATCH(D647,Items!$A$5:$A$304,0))&amp;"",""))</f>
        <v/>
      </c>
      <c r="J647" s="34" t="str">
        <f aca="false">IF(A647="","",IFERROR(INDEX(Items!$C$5:$C$304,MATCH(D647,Items!$A$5:$A$304,0))&amp;"",""))</f>
        <v/>
      </c>
      <c r="K647" s="35" t="n">
        <f aca="false">IF(A647="",0,IF(ISNUMBER(F647),F647,IFERROR(INDEX(Items!$D$5:$D$304,MATCH(D647,Items!$A$5:$A$304,0)),0)))</f>
        <v>0</v>
      </c>
      <c r="L647" s="35" t="n">
        <f aca="false">ROUND(N(E647)*K647*(1-N(G647)),2)</f>
        <v>0</v>
      </c>
      <c r="M647" s="36" t="n">
        <f aca="false">IF(A647="",0,IFERROR(INDEX(Items!$E$5:$E$304,MATCH(D647,Items!$A$5:$A$304,0)),0))</f>
        <v>0</v>
      </c>
      <c r="N647" s="37" t="str">
        <f aca="false">IF(A647="","",IFERROR(INDEX(Customers!$E$5:$E$204,MATCH(C647,Customers!$A$5:$A$204,0)),"?"))</f>
        <v/>
      </c>
      <c r="O647" s="38" t="str">
        <f aca="false">IF(A647="","",IF(N647=Settings!$B$17,"No","Yes"))</f>
        <v/>
      </c>
      <c r="P647" s="35" t="n">
        <f aca="false">IF(O647="Yes",ROUND(L647*M647,2),0)</f>
        <v>0</v>
      </c>
      <c r="Q647" s="35" t="n">
        <f aca="false">IF(O647="No",ROUND(L647*M647/2,2),0)</f>
        <v>0</v>
      </c>
      <c r="R647" s="35" t="n">
        <f aca="false">Q647</f>
        <v>0</v>
      </c>
      <c r="S647" s="35" t="n">
        <f aca="false">L647+P647+Q647+R647</f>
        <v>0</v>
      </c>
      <c r="T647" s="34" t="str">
        <f aca="false">IF(A647="","",IFERROR(INDEX(Customers!$B$5:$B$204,MATCH(C647,Customers!$A$5:$A$204,0))&amp;"",""))</f>
        <v/>
      </c>
      <c r="U647" s="38" t="str">
        <f aca="false">IF(A647="","",IF(T647&lt;&gt;"","B2B",IF(AND(O647="Yes",SUMIF($A$5:$A$1004,A647,$L$5:$L$1004)+SUMIF($A$5:$A$1004,A647,$P$5:$P$1004)&gt;100000),"B2CL","B2CS")))</f>
        <v/>
      </c>
      <c r="V647" s="17" t="str">
        <f aca="false">IF(A647="","",TEXT(B647,"mmm-yyyy"))</f>
        <v/>
      </c>
    </row>
    <row r="648" customFormat="false" ht="15" hidden="false" customHeight="true" outlineLevel="0" collapsed="false">
      <c r="A648" s="24"/>
      <c r="B648" s="39"/>
      <c r="C648" s="24"/>
      <c r="D648" s="24"/>
      <c r="E648" s="40"/>
      <c r="F648" s="29"/>
      <c r="G648" s="30"/>
      <c r="H648" s="17" t="str">
        <f aca="false">IF(A648="","",A648&amp;"|"&amp;COUNTIF(A$5:A648,A648))</f>
        <v/>
      </c>
      <c r="I648" s="33" t="str">
        <f aca="false">IF(A648="","",IFERROR(INDEX(Items!$B$5:$B$304,MATCH(D648,Items!$A$5:$A$304,0))&amp;"",""))</f>
        <v/>
      </c>
      <c r="J648" s="34" t="str">
        <f aca="false">IF(A648="","",IFERROR(INDEX(Items!$C$5:$C$304,MATCH(D648,Items!$A$5:$A$304,0))&amp;"",""))</f>
        <v/>
      </c>
      <c r="K648" s="35" t="n">
        <f aca="false">IF(A648="",0,IF(ISNUMBER(F648),F648,IFERROR(INDEX(Items!$D$5:$D$304,MATCH(D648,Items!$A$5:$A$304,0)),0)))</f>
        <v>0</v>
      </c>
      <c r="L648" s="35" t="n">
        <f aca="false">ROUND(N(E648)*K648*(1-N(G648)),2)</f>
        <v>0</v>
      </c>
      <c r="M648" s="36" t="n">
        <f aca="false">IF(A648="",0,IFERROR(INDEX(Items!$E$5:$E$304,MATCH(D648,Items!$A$5:$A$304,0)),0))</f>
        <v>0</v>
      </c>
      <c r="N648" s="37" t="str">
        <f aca="false">IF(A648="","",IFERROR(INDEX(Customers!$E$5:$E$204,MATCH(C648,Customers!$A$5:$A$204,0)),"?"))</f>
        <v/>
      </c>
      <c r="O648" s="38" t="str">
        <f aca="false">IF(A648="","",IF(N648=Settings!$B$17,"No","Yes"))</f>
        <v/>
      </c>
      <c r="P648" s="35" t="n">
        <f aca="false">IF(O648="Yes",ROUND(L648*M648,2),0)</f>
        <v>0</v>
      </c>
      <c r="Q648" s="35" t="n">
        <f aca="false">IF(O648="No",ROUND(L648*M648/2,2),0)</f>
        <v>0</v>
      </c>
      <c r="R648" s="35" t="n">
        <f aca="false">Q648</f>
        <v>0</v>
      </c>
      <c r="S648" s="35" t="n">
        <f aca="false">L648+P648+Q648+R648</f>
        <v>0</v>
      </c>
      <c r="T648" s="34" t="str">
        <f aca="false">IF(A648="","",IFERROR(INDEX(Customers!$B$5:$B$204,MATCH(C648,Customers!$A$5:$A$204,0))&amp;"",""))</f>
        <v/>
      </c>
      <c r="U648" s="38" t="str">
        <f aca="false">IF(A648="","",IF(T648&lt;&gt;"","B2B",IF(AND(O648="Yes",SUMIF($A$5:$A$1004,A648,$L$5:$L$1004)+SUMIF($A$5:$A$1004,A648,$P$5:$P$1004)&gt;100000),"B2CL","B2CS")))</f>
        <v/>
      </c>
      <c r="V648" s="17" t="str">
        <f aca="false">IF(A648="","",TEXT(B648,"mmm-yyyy"))</f>
        <v/>
      </c>
    </row>
    <row r="649" customFormat="false" ht="15" hidden="false" customHeight="true" outlineLevel="0" collapsed="false">
      <c r="A649" s="24"/>
      <c r="B649" s="39"/>
      <c r="C649" s="24"/>
      <c r="D649" s="24"/>
      <c r="E649" s="40"/>
      <c r="F649" s="29"/>
      <c r="G649" s="30"/>
      <c r="H649" s="17" t="str">
        <f aca="false">IF(A649="","",A649&amp;"|"&amp;COUNTIF(A$5:A649,A649))</f>
        <v/>
      </c>
      <c r="I649" s="33" t="str">
        <f aca="false">IF(A649="","",IFERROR(INDEX(Items!$B$5:$B$304,MATCH(D649,Items!$A$5:$A$304,0))&amp;"",""))</f>
        <v/>
      </c>
      <c r="J649" s="34" t="str">
        <f aca="false">IF(A649="","",IFERROR(INDEX(Items!$C$5:$C$304,MATCH(D649,Items!$A$5:$A$304,0))&amp;"",""))</f>
        <v/>
      </c>
      <c r="K649" s="35" t="n">
        <f aca="false">IF(A649="",0,IF(ISNUMBER(F649),F649,IFERROR(INDEX(Items!$D$5:$D$304,MATCH(D649,Items!$A$5:$A$304,0)),0)))</f>
        <v>0</v>
      </c>
      <c r="L649" s="35" t="n">
        <f aca="false">ROUND(N(E649)*K649*(1-N(G649)),2)</f>
        <v>0</v>
      </c>
      <c r="M649" s="36" t="n">
        <f aca="false">IF(A649="",0,IFERROR(INDEX(Items!$E$5:$E$304,MATCH(D649,Items!$A$5:$A$304,0)),0))</f>
        <v>0</v>
      </c>
      <c r="N649" s="37" t="str">
        <f aca="false">IF(A649="","",IFERROR(INDEX(Customers!$E$5:$E$204,MATCH(C649,Customers!$A$5:$A$204,0)),"?"))</f>
        <v/>
      </c>
      <c r="O649" s="38" t="str">
        <f aca="false">IF(A649="","",IF(N649=Settings!$B$17,"No","Yes"))</f>
        <v/>
      </c>
      <c r="P649" s="35" t="n">
        <f aca="false">IF(O649="Yes",ROUND(L649*M649,2),0)</f>
        <v>0</v>
      </c>
      <c r="Q649" s="35" t="n">
        <f aca="false">IF(O649="No",ROUND(L649*M649/2,2),0)</f>
        <v>0</v>
      </c>
      <c r="R649" s="35" t="n">
        <f aca="false">Q649</f>
        <v>0</v>
      </c>
      <c r="S649" s="35" t="n">
        <f aca="false">L649+P649+Q649+R649</f>
        <v>0</v>
      </c>
      <c r="T649" s="34" t="str">
        <f aca="false">IF(A649="","",IFERROR(INDEX(Customers!$B$5:$B$204,MATCH(C649,Customers!$A$5:$A$204,0))&amp;"",""))</f>
        <v/>
      </c>
      <c r="U649" s="38" t="str">
        <f aca="false">IF(A649="","",IF(T649&lt;&gt;"","B2B",IF(AND(O649="Yes",SUMIF($A$5:$A$1004,A649,$L$5:$L$1004)+SUMIF($A$5:$A$1004,A649,$P$5:$P$1004)&gt;100000),"B2CL","B2CS")))</f>
        <v/>
      </c>
      <c r="V649" s="17" t="str">
        <f aca="false">IF(A649="","",TEXT(B649,"mmm-yyyy"))</f>
        <v/>
      </c>
    </row>
    <row r="650" customFormat="false" ht="15" hidden="false" customHeight="true" outlineLevel="0" collapsed="false">
      <c r="A650" s="24"/>
      <c r="B650" s="39"/>
      <c r="C650" s="24"/>
      <c r="D650" s="24"/>
      <c r="E650" s="40"/>
      <c r="F650" s="29"/>
      <c r="G650" s="30"/>
      <c r="H650" s="17" t="str">
        <f aca="false">IF(A650="","",A650&amp;"|"&amp;COUNTIF(A$5:A650,A650))</f>
        <v/>
      </c>
      <c r="I650" s="33" t="str">
        <f aca="false">IF(A650="","",IFERROR(INDEX(Items!$B$5:$B$304,MATCH(D650,Items!$A$5:$A$304,0))&amp;"",""))</f>
        <v/>
      </c>
      <c r="J650" s="34" t="str">
        <f aca="false">IF(A650="","",IFERROR(INDEX(Items!$C$5:$C$304,MATCH(D650,Items!$A$5:$A$304,0))&amp;"",""))</f>
        <v/>
      </c>
      <c r="K650" s="35" t="n">
        <f aca="false">IF(A650="",0,IF(ISNUMBER(F650),F650,IFERROR(INDEX(Items!$D$5:$D$304,MATCH(D650,Items!$A$5:$A$304,0)),0)))</f>
        <v>0</v>
      </c>
      <c r="L650" s="35" t="n">
        <f aca="false">ROUND(N(E650)*K650*(1-N(G650)),2)</f>
        <v>0</v>
      </c>
      <c r="M650" s="36" t="n">
        <f aca="false">IF(A650="",0,IFERROR(INDEX(Items!$E$5:$E$304,MATCH(D650,Items!$A$5:$A$304,0)),0))</f>
        <v>0</v>
      </c>
      <c r="N650" s="37" t="str">
        <f aca="false">IF(A650="","",IFERROR(INDEX(Customers!$E$5:$E$204,MATCH(C650,Customers!$A$5:$A$204,0)),"?"))</f>
        <v/>
      </c>
      <c r="O650" s="38" t="str">
        <f aca="false">IF(A650="","",IF(N650=Settings!$B$17,"No","Yes"))</f>
        <v/>
      </c>
      <c r="P650" s="35" t="n">
        <f aca="false">IF(O650="Yes",ROUND(L650*M650,2),0)</f>
        <v>0</v>
      </c>
      <c r="Q650" s="35" t="n">
        <f aca="false">IF(O650="No",ROUND(L650*M650/2,2),0)</f>
        <v>0</v>
      </c>
      <c r="R650" s="35" t="n">
        <f aca="false">Q650</f>
        <v>0</v>
      </c>
      <c r="S650" s="35" t="n">
        <f aca="false">L650+P650+Q650+R650</f>
        <v>0</v>
      </c>
      <c r="T650" s="34" t="str">
        <f aca="false">IF(A650="","",IFERROR(INDEX(Customers!$B$5:$B$204,MATCH(C650,Customers!$A$5:$A$204,0))&amp;"",""))</f>
        <v/>
      </c>
      <c r="U650" s="38" t="str">
        <f aca="false">IF(A650="","",IF(T650&lt;&gt;"","B2B",IF(AND(O650="Yes",SUMIF($A$5:$A$1004,A650,$L$5:$L$1004)+SUMIF($A$5:$A$1004,A650,$P$5:$P$1004)&gt;100000),"B2CL","B2CS")))</f>
        <v/>
      </c>
      <c r="V650" s="17" t="str">
        <f aca="false">IF(A650="","",TEXT(B650,"mmm-yyyy"))</f>
        <v/>
      </c>
    </row>
    <row r="651" customFormat="false" ht="15" hidden="false" customHeight="true" outlineLevel="0" collapsed="false">
      <c r="A651" s="24"/>
      <c r="B651" s="39"/>
      <c r="C651" s="24"/>
      <c r="D651" s="24"/>
      <c r="E651" s="40"/>
      <c r="F651" s="29"/>
      <c r="G651" s="30"/>
      <c r="H651" s="17" t="str">
        <f aca="false">IF(A651="","",A651&amp;"|"&amp;COUNTIF(A$5:A651,A651))</f>
        <v/>
      </c>
      <c r="I651" s="33" t="str">
        <f aca="false">IF(A651="","",IFERROR(INDEX(Items!$B$5:$B$304,MATCH(D651,Items!$A$5:$A$304,0))&amp;"",""))</f>
        <v/>
      </c>
      <c r="J651" s="34" t="str">
        <f aca="false">IF(A651="","",IFERROR(INDEX(Items!$C$5:$C$304,MATCH(D651,Items!$A$5:$A$304,0))&amp;"",""))</f>
        <v/>
      </c>
      <c r="K651" s="35" t="n">
        <f aca="false">IF(A651="",0,IF(ISNUMBER(F651),F651,IFERROR(INDEX(Items!$D$5:$D$304,MATCH(D651,Items!$A$5:$A$304,0)),0)))</f>
        <v>0</v>
      </c>
      <c r="L651" s="35" t="n">
        <f aca="false">ROUND(N(E651)*K651*(1-N(G651)),2)</f>
        <v>0</v>
      </c>
      <c r="M651" s="36" t="n">
        <f aca="false">IF(A651="",0,IFERROR(INDEX(Items!$E$5:$E$304,MATCH(D651,Items!$A$5:$A$304,0)),0))</f>
        <v>0</v>
      </c>
      <c r="N651" s="37" t="str">
        <f aca="false">IF(A651="","",IFERROR(INDEX(Customers!$E$5:$E$204,MATCH(C651,Customers!$A$5:$A$204,0)),"?"))</f>
        <v/>
      </c>
      <c r="O651" s="38" t="str">
        <f aca="false">IF(A651="","",IF(N651=Settings!$B$17,"No","Yes"))</f>
        <v/>
      </c>
      <c r="P651" s="35" t="n">
        <f aca="false">IF(O651="Yes",ROUND(L651*M651,2),0)</f>
        <v>0</v>
      </c>
      <c r="Q651" s="35" t="n">
        <f aca="false">IF(O651="No",ROUND(L651*M651/2,2),0)</f>
        <v>0</v>
      </c>
      <c r="R651" s="35" t="n">
        <f aca="false">Q651</f>
        <v>0</v>
      </c>
      <c r="S651" s="35" t="n">
        <f aca="false">L651+P651+Q651+R651</f>
        <v>0</v>
      </c>
      <c r="T651" s="34" t="str">
        <f aca="false">IF(A651="","",IFERROR(INDEX(Customers!$B$5:$B$204,MATCH(C651,Customers!$A$5:$A$204,0))&amp;"",""))</f>
        <v/>
      </c>
      <c r="U651" s="38" t="str">
        <f aca="false">IF(A651="","",IF(T651&lt;&gt;"","B2B",IF(AND(O651="Yes",SUMIF($A$5:$A$1004,A651,$L$5:$L$1004)+SUMIF($A$5:$A$1004,A651,$P$5:$P$1004)&gt;100000),"B2CL","B2CS")))</f>
        <v/>
      </c>
      <c r="V651" s="17" t="str">
        <f aca="false">IF(A651="","",TEXT(B651,"mmm-yyyy"))</f>
        <v/>
      </c>
    </row>
    <row r="652" customFormat="false" ht="15" hidden="false" customHeight="true" outlineLevel="0" collapsed="false">
      <c r="A652" s="24"/>
      <c r="B652" s="39"/>
      <c r="C652" s="24"/>
      <c r="D652" s="24"/>
      <c r="E652" s="40"/>
      <c r="F652" s="29"/>
      <c r="G652" s="30"/>
      <c r="H652" s="17" t="str">
        <f aca="false">IF(A652="","",A652&amp;"|"&amp;COUNTIF(A$5:A652,A652))</f>
        <v/>
      </c>
      <c r="I652" s="33" t="str">
        <f aca="false">IF(A652="","",IFERROR(INDEX(Items!$B$5:$B$304,MATCH(D652,Items!$A$5:$A$304,0))&amp;"",""))</f>
        <v/>
      </c>
      <c r="J652" s="34" t="str">
        <f aca="false">IF(A652="","",IFERROR(INDEX(Items!$C$5:$C$304,MATCH(D652,Items!$A$5:$A$304,0))&amp;"",""))</f>
        <v/>
      </c>
      <c r="K652" s="35" t="n">
        <f aca="false">IF(A652="",0,IF(ISNUMBER(F652),F652,IFERROR(INDEX(Items!$D$5:$D$304,MATCH(D652,Items!$A$5:$A$304,0)),0)))</f>
        <v>0</v>
      </c>
      <c r="L652" s="35" t="n">
        <f aca="false">ROUND(N(E652)*K652*(1-N(G652)),2)</f>
        <v>0</v>
      </c>
      <c r="M652" s="36" t="n">
        <f aca="false">IF(A652="",0,IFERROR(INDEX(Items!$E$5:$E$304,MATCH(D652,Items!$A$5:$A$304,0)),0))</f>
        <v>0</v>
      </c>
      <c r="N652" s="37" t="str">
        <f aca="false">IF(A652="","",IFERROR(INDEX(Customers!$E$5:$E$204,MATCH(C652,Customers!$A$5:$A$204,0)),"?"))</f>
        <v/>
      </c>
      <c r="O652" s="38" t="str">
        <f aca="false">IF(A652="","",IF(N652=Settings!$B$17,"No","Yes"))</f>
        <v/>
      </c>
      <c r="P652" s="35" t="n">
        <f aca="false">IF(O652="Yes",ROUND(L652*M652,2),0)</f>
        <v>0</v>
      </c>
      <c r="Q652" s="35" t="n">
        <f aca="false">IF(O652="No",ROUND(L652*M652/2,2),0)</f>
        <v>0</v>
      </c>
      <c r="R652" s="35" t="n">
        <f aca="false">Q652</f>
        <v>0</v>
      </c>
      <c r="S652" s="35" t="n">
        <f aca="false">L652+P652+Q652+R652</f>
        <v>0</v>
      </c>
      <c r="T652" s="34" t="str">
        <f aca="false">IF(A652="","",IFERROR(INDEX(Customers!$B$5:$B$204,MATCH(C652,Customers!$A$5:$A$204,0))&amp;"",""))</f>
        <v/>
      </c>
      <c r="U652" s="38" t="str">
        <f aca="false">IF(A652="","",IF(T652&lt;&gt;"","B2B",IF(AND(O652="Yes",SUMIF($A$5:$A$1004,A652,$L$5:$L$1004)+SUMIF($A$5:$A$1004,A652,$P$5:$P$1004)&gt;100000),"B2CL","B2CS")))</f>
        <v/>
      </c>
      <c r="V652" s="17" t="str">
        <f aca="false">IF(A652="","",TEXT(B652,"mmm-yyyy"))</f>
        <v/>
      </c>
    </row>
    <row r="653" customFormat="false" ht="15" hidden="false" customHeight="true" outlineLevel="0" collapsed="false">
      <c r="A653" s="24"/>
      <c r="B653" s="39"/>
      <c r="C653" s="24"/>
      <c r="D653" s="24"/>
      <c r="E653" s="40"/>
      <c r="F653" s="29"/>
      <c r="G653" s="30"/>
      <c r="H653" s="17" t="str">
        <f aca="false">IF(A653="","",A653&amp;"|"&amp;COUNTIF(A$5:A653,A653))</f>
        <v/>
      </c>
      <c r="I653" s="33" t="str">
        <f aca="false">IF(A653="","",IFERROR(INDEX(Items!$B$5:$B$304,MATCH(D653,Items!$A$5:$A$304,0))&amp;"",""))</f>
        <v/>
      </c>
      <c r="J653" s="34" t="str">
        <f aca="false">IF(A653="","",IFERROR(INDEX(Items!$C$5:$C$304,MATCH(D653,Items!$A$5:$A$304,0))&amp;"",""))</f>
        <v/>
      </c>
      <c r="K653" s="35" t="n">
        <f aca="false">IF(A653="",0,IF(ISNUMBER(F653),F653,IFERROR(INDEX(Items!$D$5:$D$304,MATCH(D653,Items!$A$5:$A$304,0)),0)))</f>
        <v>0</v>
      </c>
      <c r="L653" s="35" t="n">
        <f aca="false">ROUND(N(E653)*K653*(1-N(G653)),2)</f>
        <v>0</v>
      </c>
      <c r="M653" s="36" t="n">
        <f aca="false">IF(A653="",0,IFERROR(INDEX(Items!$E$5:$E$304,MATCH(D653,Items!$A$5:$A$304,0)),0))</f>
        <v>0</v>
      </c>
      <c r="N653" s="37" t="str">
        <f aca="false">IF(A653="","",IFERROR(INDEX(Customers!$E$5:$E$204,MATCH(C653,Customers!$A$5:$A$204,0)),"?"))</f>
        <v/>
      </c>
      <c r="O653" s="38" t="str">
        <f aca="false">IF(A653="","",IF(N653=Settings!$B$17,"No","Yes"))</f>
        <v/>
      </c>
      <c r="P653" s="35" t="n">
        <f aca="false">IF(O653="Yes",ROUND(L653*M653,2),0)</f>
        <v>0</v>
      </c>
      <c r="Q653" s="35" t="n">
        <f aca="false">IF(O653="No",ROUND(L653*M653/2,2),0)</f>
        <v>0</v>
      </c>
      <c r="R653" s="35" t="n">
        <f aca="false">Q653</f>
        <v>0</v>
      </c>
      <c r="S653" s="35" t="n">
        <f aca="false">L653+P653+Q653+R653</f>
        <v>0</v>
      </c>
      <c r="T653" s="34" t="str">
        <f aca="false">IF(A653="","",IFERROR(INDEX(Customers!$B$5:$B$204,MATCH(C653,Customers!$A$5:$A$204,0))&amp;"",""))</f>
        <v/>
      </c>
      <c r="U653" s="38" t="str">
        <f aca="false">IF(A653="","",IF(T653&lt;&gt;"","B2B",IF(AND(O653="Yes",SUMIF($A$5:$A$1004,A653,$L$5:$L$1004)+SUMIF($A$5:$A$1004,A653,$P$5:$P$1004)&gt;100000),"B2CL","B2CS")))</f>
        <v/>
      </c>
      <c r="V653" s="17" t="str">
        <f aca="false">IF(A653="","",TEXT(B653,"mmm-yyyy"))</f>
        <v/>
      </c>
    </row>
    <row r="654" customFormat="false" ht="15" hidden="false" customHeight="true" outlineLevel="0" collapsed="false">
      <c r="A654" s="24"/>
      <c r="B654" s="39"/>
      <c r="C654" s="24"/>
      <c r="D654" s="24"/>
      <c r="E654" s="40"/>
      <c r="F654" s="29"/>
      <c r="G654" s="30"/>
      <c r="H654" s="17" t="str">
        <f aca="false">IF(A654="","",A654&amp;"|"&amp;COUNTIF(A$5:A654,A654))</f>
        <v/>
      </c>
      <c r="I654" s="33" t="str">
        <f aca="false">IF(A654="","",IFERROR(INDEX(Items!$B$5:$B$304,MATCH(D654,Items!$A$5:$A$304,0))&amp;"",""))</f>
        <v/>
      </c>
      <c r="J654" s="34" t="str">
        <f aca="false">IF(A654="","",IFERROR(INDEX(Items!$C$5:$C$304,MATCH(D654,Items!$A$5:$A$304,0))&amp;"",""))</f>
        <v/>
      </c>
      <c r="K654" s="35" t="n">
        <f aca="false">IF(A654="",0,IF(ISNUMBER(F654),F654,IFERROR(INDEX(Items!$D$5:$D$304,MATCH(D654,Items!$A$5:$A$304,0)),0)))</f>
        <v>0</v>
      </c>
      <c r="L654" s="35" t="n">
        <f aca="false">ROUND(N(E654)*K654*(1-N(G654)),2)</f>
        <v>0</v>
      </c>
      <c r="M654" s="36" t="n">
        <f aca="false">IF(A654="",0,IFERROR(INDEX(Items!$E$5:$E$304,MATCH(D654,Items!$A$5:$A$304,0)),0))</f>
        <v>0</v>
      </c>
      <c r="N654" s="37" t="str">
        <f aca="false">IF(A654="","",IFERROR(INDEX(Customers!$E$5:$E$204,MATCH(C654,Customers!$A$5:$A$204,0)),"?"))</f>
        <v/>
      </c>
      <c r="O654" s="38" t="str">
        <f aca="false">IF(A654="","",IF(N654=Settings!$B$17,"No","Yes"))</f>
        <v/>
      </c>
      <c r="P654" s="35" t="n">
        <f aca="false">IF(O654="Yes",ROUND(L654*M654,2),0)</f>
        <v>0</v>
      </c>
      <c r="Q654" s="35" t="n">
        <f aca="false">IF(O654="No",ROUND(L654*M654/2,2),0)</f>
        <v>0</v>
      </c>
      <c r="R654" s="35" t="n">
        <f aca="false">Q654</f>
        <v>0</v>
      </c>
      <c r="S654" s="35" t="n">
        <f aca="false">L654+P654+Q654+R654</f>
        <v>0</v>
      </c>
      <c r="T654" s="34" t="str">
        <f aca="false">IF(A654="","",IFERROR(INDEX(Customers!$B$5:$B$204,MATCH(C654,Customers!$A$5:$A$204,0))&amp;"",""))</f>
        <v/>
      </c>
      <c r="U654" s="38" t="str">
        <f aca="false">IF(A654="","",IF(T654&lt;&gt;"","B2B",IF(AND(O654="Yes",SUMIF($A$5:$A$1004,A654,$L$5:$L$1004)+SUMIF($A$5:$A$1004,A654,$P$5:$P$1004)&gt;100000),"B2CL","B2CS")))</f>
        <v/>
      </c>
      <c r="V654" s="17" t="str">
        <f aca="false">IF(A654="","",TEXT(B654,"mmm-yyyy"))</f>
        <v/>
      </c>
    </row>
    <row r="655" customFormat="false" ht="15" hidden="false" customHeight="true" outlineLevel="0" collapsed="false">
      <c r="A655" s="24"/>
      <c r="B655" s="39"/>
      <c r="C655" s="24"/>
      <c r="D655" s="24"/>
      <c r="E655" s="40"/>
      <c r="F655" s="29"/>
      <c r="G655" s="30"/>
      <c r="H655" s="17" t="str">
        <f aca="false">IF(A655="","",A655&amp;"|"&amp;COUNTIF(A$5:A655,A655))</f>
        <v/>
      </c>
      <c r="I655" s="33" t="str">
        <f aca="false">IF(A655="","",IFERROR(INDEX(Items!$B$5:$B$304,MATCH(D655,Items!$A$5:$A$304,0))&amp;"",""))</f>
        <v/>
      </c>
      <c r="J655" s="34" t="str">
        <f aca="false">IF(A655="","",IFERROR(INDEX(Items!$C$5:$C$304,MATCH(D655,Items!$A$5:$A$304,0))&amp;"",""))</f>
        <v/>
      </c>
      <c r="K655" s="35" t="n">
        <f aca="false">IF(A655="",0,IF(ISNUMBER(F655),F655,IFERROR(INDEX(Items!$D$5:$D$304,MATCH(D655,Items!$A$5:$A$304,0)),0)))</f>
        <v>0</v>
      </c>
      <c r="L655" s="35" t="n">
        <f aca="false">ROUND(N(E655)*K655*(1-N(G655)),2)</f>
        <v>0</v>
      </c>
      <c r="M655" s="36" t="n">
        <f aca="false">IF(A655="",0,IFERROR(INDEX(Items!$E$5:$E$304,MATCH(D655,Items!$A$5:$A$304,0)),0))</f>
        <v>0</v>
      </c>
      <c r="N655" s="37" t="str">
        <f aca="false">IF(A655="","",IFERROR(INDEX(Customers!$E$5:$E$204,MATCH(C655,Customers!$A$5:$A$204,0)),"?"))</f>
        <v/>
      </c>
      <c r="O655" s="38" t="str">
        <f aca="false">IF(A655="","",IF(N655=Settings!$B$17,"No","Yes"))</f>
        <v/>
      </c>
      <c r="P655" s="35" t="n">
        <f aca="false">IF(O655="Yes",ROUND(L655*M655,2),0)</f>
        <v>0</v>
      </c>
      <c r="Q655" s="35" t="n">
        <f aca="false">IF(O655="No",ROUND(L655*M655/2,2),0)</f>
        <v>0</v>
      </c>
      <c r="R655" s="35" t="n">
        <f aca="false">Q655</f>
        <v>0</v>
      </c>
      <c r="S655" s="35" t="n">
        <f aca="false">L655+P655+Q655+R655</f>
        <v>0</v>
      </c>
      <c r="T655" s="34" t="str">
        <f aca="false">IF(A655="","",IFERROR(INDEX(Customers!$B$5:$B$204,MATCH(C655,Customers!$A$5:$A$204,0))&amp;"",""))</f>
        <v/>
      </c>
      <c r="U655" s="38" t="str">
        <f aca="false">IF(A655="","",IF(T655&lt;&gt;"","B2B",IF(AND(O655="Yes",SUMIF($A$5:$A$1004,A655,$L$5:$L$1004)+SUMIF($A$5:$A$1004,A655,$P$5:$P$1004)&gt;100000),"B2CL","B2CS")))</f>
        <v/>
      </c>
      <c r="V655" s="17" t="str">
        <f aca="false">IF(A655="","",TEXT(B655,"mmm-yyyy"))</f>
        <v/>
      </c>
    </row>
    <row r="656" customFormat="false" ht="15" hidden="false" customHeight="true" outlineLevel="0" collapsed="false">
      <c r="A656" s="24"/>
      <c r="B656" s="39"/>
      <c r="C656" s="24"/>
      <c r="D656" s="24"/>
      <c r="E656" s="40"/>
      <c r="F656" s="29"/>
      <c r="G656" s="30"/>
      <c r="H656" s="17" t="str">
        <f aca="false">IF(A656="","",A656&amp;"|"&amp;COUNTIF(A$5:A656,A656))</f>
        <v/>
      </c>
      <c r="I656" s="33" t="str">
        <f aca="false">IF(A656="","",IFERROR(INDEX(Items!$B$5:$B$304,MATCH(D656,Items!$A$5:$A$304,0))&amp;"",""))</f>
        <v/>
      </c>
      <c r="J656" s="34" t="str">
        <f aca="false">IF(A656="","",IFERROR(INDEX(Items!$C$5:$C$304,MATCH(D656,Items!$A$5:$A$304,0))&amp;"",""))</f>
        <v/>
      </c>
      <c r="K656" s="35" t="n">
        <f aca="false">IF(A656="",0,IF(ISNUMBER(F656),F656,IFERROR(INDEX(Items!$D$5:$D$304,MATCH(D656,Items!$A$5:$A$304,0)),0)))</f>
        <v>0</v>
      </c>
      <c r="L656" s="35" t="n">
        <f aca="false">ROUND(N(E656)*K656*(1-N(G656)),2)</f>
        <v>0</v>
      </c>
      <c r="M656" s="36" t="n">
        <f aca="false">IF(A656="",0,IFERROR(INDEX(Items!$E$5:$E$304,MATCH(D656,Items!$A$5:$A$304,0)),0))</f>
        <v>0</v>
      </c>
      <c r="N656" s="37" t="str">
        <f aca="false">IF(A656="","",IFERROR(INDEX(Customers!$E$5:$E$204,MATCH(C656,Customers!$A$5:$A$204,0)),"?"))</f>
        <v/>
      </c>
      <c r="O656" s="38" t="str">
        <f aca="false">IF(A656="","",IF(N656=Settings!$B$17,"No","Yes"))</f>
        <v/>
      </c>
      <c r="P656" s="35" t="n">
        <f aca="false">IF(O656="Yes",ROUND(L656*M656,2),0)</f>
        <v>0</v>
      </c>
      <c r="Q656" s="35" t="n">
        <f aca="false">IF(O656="No",ROUND(L656*M656/2,2),0)</f>
        <v>0</v>
      </c>
      <c r="R656" s="35" t="n">
        <f aca="false">Q656</f>
        <v>0</v>
      </c>
      <c r="S656" s="35" t="n">
        <f aca="false">L656+P656+Q656+R656</f>
        <v>0</v>
      </c>
      <c r="T656" s="34" t="str">
        <f aca="false">IF(A656="","",IFERROR(INDEX(Customers!$B$5:$B$204,MATCH(C656,Customers!$A$5:$A$204,0))&amp;"",""))</f>
        <v/>
      </c>
      <c r="U656" s="38" t="str">
        <f aca="false">IF(A656="","",IF(T656&lt;&gt;"","B2B",IF(AND(O656="Yes",SUMIF($A$5:$A$1004,A656,$L$5:$L$1004)+SUMIF($A$5:$A$1004,A656,$P$5:$P$1004)&gt;100000),"B2CL","B2CS")))</f>
        <v/>
      </c>
      <c r="V656" s="17" t="str">
        <f aca="false">IF(A656="","",TEXT(B656,"mmm-yyyy"))</f>
        <v/>
      </c>
    </row>
    <row r="657" customFormat="false" ht="15" hidden="false" customHeight="true" outlineLevel="0" collapsed="false">
      <c r="A657" s="24"/>
      <c r="B657" s="39"/>
      <c r="C657" s="24"/>
      <c r="D657" s="24"/>
      <c r="E657" s="40"/>
      <c r="F657" s="29"/>
      <c r="G657" s="30"/>
      <c r="H657" s="17" t="str">
        <f aca="false">IF(A657="","",A657&amp;"|"&amp;COUNTIF(A$5:A657,A657))</f>
        <v/>
      </c>
      <c r="I657" s="33" t="str">
        <f aca="false">IF(A657="","",IFERROR(INDEX(Items!$B$5:$B$304,MATCH(D657,Items!$A$5:$A$304,0))&amp;"",""))</f>
        <v/>
      </c>
      <c r="J657" s="34" t="str">
        <f aca="false">IF(A657="","",IFERROR(INDEX(Items!$C$5:$C$304,MATCH(D657,Items!$A$5:$A$304,0))&amp;"",""))</f>
        <v/>
      </c>
      <c r="K657" s="35" t="n">
        <f aca="false">IF(A657="",0,IF(ISNUMBER(F657),F657,IFERROR(INDEX(Items!$D$5:$D$304,MATCH(D657,Items!$A$5:$A$304,0)),0)))</f>
        <v>0</v>
      </c>
      <c r="L657" s="35" t="n">
        <f aca="false">ROUND(N(E657)*K657*(1-N(G657)),2)</f>
        <v>0</v>
      </c>
      <c r="M657" s="36" t="n">
        <f aca="false">IF(A657="",0,IFERROR(INDEX(Items!$E$5:$E$304,MATCH(D657,Items!$A$5:$A$304,0)),0))</f>
        <v>0</v>
      </c>
      <c r="N657" s="37" t="str">
        <f aca="false">IF(A657="","",IFERROR(INDEX(Customers!$E$5:$E$204,MATCH(C657,Customers!$A$5:$A$204,0)),"?"))</f>
        <v/>
      </c>
      <c r="O657" s="38" t="str">
        <f aca="false">IF(A657="","",IF(N657=Settings!$B$17,"No","Yes"))</f>
        <v/>
      </c>
      <c r="P657" s="35" t="n">
        <f aca="false">IF(O657="Yes",ROUND(L657*M657,2),0)</f>
        <v>0</v>
      </c>
      <c r="Q657" s="35" t="n">
        <f aca="false">IF(O657="No",ROUND(L657*M657/2,2),0)</f>
        <v>0</v>
      </c>
      <c r="R657" s="35" t="n">
        <f aca="false">Q657</f>
        <v>0</v>
      </c>
      <c r="S657" s="35" t="n">
        <f aca="false">L657+P657+Q657+R657</f>
        <v>0</v>
      </c>
      <c r="T657" s="34" t="str">
        <f aca="false">IF(A657="","",IFERROR(INDEX(Customers!$B$5:$B$204,MATCH(C657,Customers!$A$5:$A$204,0))&amp;"",""))</f>
        <v/>
      </c>
      <c r="U657" s="38" t="str">
        <f aca="false">IF(A657="","",IF(T657&lt;&gt;"","B2B",IF(AND(O657="Yes",SUMIF($A$5:$A$1004,A657,$L$5:$L$1004)+SUMIF($A$5:$A$1004,A657,$P$5:$P$1004)&gt;100000),"B2CL","B2CS")))</f>
        <v/>
      </c>
      <c r="V657" s="17" t="str">
        <f aca="false">IF(A657="","",TEXT(B657,"mmm-yyyy"))</f>
        <v/>
      </c>
    </row>
    <row r="658" customFormat="false" ht="15" hidden="false" customHeight="true" outlineLevel="0" collapsed="false">
      <c r="A658" s="24"/>
      <c r="B658" s="39"/>
      <c r="C658" s="24"/>
      <c r="D658" s="24"/>
      <c r="E658" s="40"/>
      <c r="F658" s="29"/>
      <c r="G658" s="30"/>
      <c r="H658" s="17" t="str">
        <f aca="false">IF(A658="","",A658&amp;"|"&amp;COUNTIF(A$5:A658,A658))</f>
        <v/>
      </c>
      <c r="I658" s="33" t="str">
        <f aca="false">IF(A658="","",IFERROR(INDEX(Items!$B$5:$B$304,MATCH(D658,Items!$A$5:$A$304,0))&amp;"",""))</f>
        <v/>
      </c>
      <c r="J658" s="34" t="str">
        <f aca="false">IF(A658="","",IFERROR(INDEX(Items!$C$5:$C$304,MATCH(D658,Items!$A$5:$A$304,0))&amp;"",""))</f>
        <v/>
      </c>
      <c r="K658" s="35" t="n">
        <f aca="false">IF(A658="",0,IF(ISNUMBER(F658),F658,IFERROR(INDEX(Items!$D$5:$D$304,MATCH(D658,Items!$A$5:$A$304,0)),0)))</f>
        <v>0</v>
      </c>
      <c r="L658" s="35" t="n">
        <f aca="false">ROUND(N(E658)*K658*(1-N(G658)),2)</f>
        <v>0</v>
      </c>
      <c r="M658" s="36" t="n">
        <f aca="false">IF(A658="",0,IFERROR(INDEX(Items!$E$5:$E$304,MATCH(D658,Items!$A$5:$A$304,0)),0))</f>
        <v>0</v>
      </c>
      <c r="N658" s="37" t="str">
        <f aca="false">IF(A658="","",IFERROR(INDEX(Customers!$E$5:$E$204,MATCH(C658,Customers!$A$5:$A$204,0)),"?"))</f>
        <v/>
      </c>
      <c r="O658" s="38" t="str">
        <f aca="false">IF(A658="","",IF(N658=Settings!$B$17,"No","Yes"))</f>
        <v/>
      </c>
      <c r="P658" s="35" t="n">
        <f aca="false">IF(O658="Yes",ROUND(L658*M658,2),0)</f>
        <v>0</v>
      </c>
      <c r="Q658" s="35" t="n">
        <f aca="false">IF(O658="No",ROUND(L658*M658/2,2),0)</f>
        <v>0</v>
      </c>
      <c r="R658" s="35" t="n">
        <f aca="false">Q658</f>
        <v>0</v>
      </c>
      <c r="S658" s="35" t="n">
        <f aca="false">L658+P658+Q658+R658</f>
        <v>0</v>
      </c>
      <c r="T658" s="34" t="str">
        <f aca="false">IF(A658="","",IFERROR(INDEX(Customers!$B$5:$B$204,MATCH(C658,Customers!$A$5:$A$204,0))&amp;"",""))</f>
        <v/>
      </c>
      <c r="U658" s="38" t="str">
        <f aca="false">IF(A658="","",IF(T658&lt;&gt;"","B2B",IF(AND(O658="Yes",SUMIF($A$5:$A$1004,A658,$L$5:$L$1004)+SUMIF($A$5:$A$1004,A658,$P$5:$P$1004)&gt;100000),"B2CL","B2CS")))</f>
        <v/>
      </c>
      <c r="V658" s="17" t="str">
        <f aca="false">IF(A658="","",TEXT(B658,"mmm-yyyy"))</f>
        <v/>
      </c>
    </row>
    <row r="659" customFormat="false" ht="15" hidden="false" customHeight="true" outlineLevel="0" collapsed="false">
      <c r="A659" s="24"/>
      <c r="B659" s="39"/>
      <c r="C659" s="24"/>
      <c r="D659" s="24"/>
      <c r="E659" s="40"/>
      <c r="F659" s="29"/>
      <c r="G659" s="30"/>
      <c r="H659" s="17" t="str">
        <f aca="false">IF(A659="","",A659&amp;"|"&amp;COUNTIF(A$5:A659,A659))</f>
        <v/>
      </c>
      <c r="I659" s="33" t="str">
        <f aca="false">IF(A659="","",IFERROR(INDEX(Items!$B$5:$B$304,MATCH(D659,Items!$A$5:$A$304,0))&amp;"",""))</f>
        <v/>
      </c>
      <c r="J659" s="34" t="str">
        <f aca="false">IF(A659="","",IFERROR(INDEX(Items!$C$5:$C$304,MATCH(D659,Items!$A$5:$A$304,0))&amp;"",""))</f>
        <v/>
      </c>
      <c r="K659" s="35" t="n">
        <f aca="false">IF(A659="",0,IF(ISNUMBER(F659),F659,IFERROR(INDEX(Items!$D$5:$D$304,MATCH(D659,Items!$A$5:$A$304,0)),0)))</f>
        <v>0</v>
      </c>
      <c r="L659" s="35" t="n">
        <f aca="false">ROUND(N(E659)*K659*(1-N(G659)),2)</f>
        <v>0</v>
      </c>
      <c r="M659" s="36" t="n">
        <f aca="false">IF(A659="",0,IFERROR(INDEX(Items!$E$5:$E$304,MATCH(D659,Items!$A$5:$A$304,0)),0))</f>
        <v>0</v>
      </c>
      <c r="N659" s="37" t="str">
        <f aca="false">IF(A659="","",IFERROR(INDEX(Customers!$E$5:$E$204,MATCH(C659,Customers!$A$5:$A$204,0)),"?"))</f>
        <v/>
      </c>
      <c r="O659" s="38" t="str">
        <f aca="false">IF(A659="","",IF(N659=Settings!$B$17,"No","Yes"))</f>
        <v/>
      </c>
      <c r="P659" s="35" t="n">
        <f aca="false">IF(O659="Yes",ROUND(L659*M659,2),0)</f>
        <v>0</v>
      </c>
      <c r="Q659" s="35" t="n">
        <f aca="false">IF(O659="No",ROUND(L659*M659/2,2),0)</f>
        <v>0</v>
      </c>
      <c r="R659" s="35" t="n">
        <f aca="false">Q659</f>
        <v>0</v>
      </c>
      <c r="S659" s="35" t="n">
        <f aca="false">L659+P659+Q659+R659</f>
        <v>0</v>
      </c>
      <c r="T659" s="34" t="str">
        <f aca="false">IF(A659="","",IFERROR(INDEX(Customers!$B$5:$B$204,MATCH(C659,Customers!$A$5:$A$204,0))&amp;"",""))</f>
        <v/>
      </c>
      <c r="U659" s="38" t="str">
        <f aca="false">IF(A659="","",IF(T659&lt;&gt;"","B2B",IF(AND(O659="Yes",SUMIF($A$5:$A$1004,A659,$L$5:$L$1004)+SUMIF($A$5:$A$1004,A659,$P$5:$P$1004)&gt;100000),"B2CL","B2CS")))</f>
        <v/>
      </c>
      <c r="V659" s="17" t="str">
        <f aca="false">IF(A659="","",TEXT(B659,"mmm-yyyy"))</f>
        <v/>
      </c>
    </row>
    <row r="660" customFormat="false" ht="15" hidden="false" customHeight="true" outlineLevel="0" collapsed="false">
      <c r="A660" s="24"/>
      <c r="B660" s="39"/>
      <c r="C660" s="24"/>
      <c r="D660" s="24"/>
      <c r="E660" s="40"/>
      <c r="F660" s="29"/>
      <c r="G660" s="30"/>
      <c r="H660" s="17" t="str">
        <f aca="false">IF(A660="","",A660&amp;"|"&amp;COUNTIF(A$5:A660,A660))</f>
        <v/>
      </c>
      <c r="I660" s="33" t="str">
        <f aca="false">IF(A660="","",IFERROR(INDEX(Items!$B$5:$B$304,MATCH(D660,Items!$A$5:$A$304,0))&amp;"",""))</f>
        <v/>
      </c>
      <c r="J660" s="34" t="str">
        <f aca="false">IF(A660="","",IFERROR(INDEX(Items!$C$5:$C$304,MATCH(D660,Items!$A$5:$A$304,0))&amp;"",""))</f>
        <v/>
      </c>
      <c r="K660" s="35" t="n">
        <f aca="false">IF(A660="",0,IF(ISNUMBER(F660),F660,IFERROR(INDEX(Items!$D$5:$D$304,MATCH(D660,Items!$A$5:$A$304,0)),0)))</f>
        <v>0</v>
      </c>
      <c r="L660" s="35" t="n">
        <f aca="false">ROUND(N(E660)*K660*(1-N(G660)),2)</f>
        <v>0</v>
      </c>
      <c r="M660" s="36" t="n">
        <f aca="false">IF(A660="",0,IFERROR(INDEX(Items!$E$5:$E$304,MATCH(D660,Items!$A$5:$A$304,0)),0))</f>
        <v>0</v>
      </c>
      <c r="N660" s="37" t="str">
        <f aca="false">IF(A660="","",IFERROR(INDEX(Customers!$E$5:$E$204,MATCH(C660,Customers!$A$5:$A$204,0)),"?"))</f>
        <v/>
      </c>
      <c r="O660" s="38" t="str">
        <f aca="false">IF(A660="","",IF(N660=Settings!$B$17,"No","Yes"))</f>
        <v/>
      </c>
      <c r="P660" s="35" t="n">
        <f aca="false">IF(O660="Yes",ROUND(L660*M660,2),0)</f>
        <v>0</v>
      </c>
      <c r="Q660" s="35" t="n">
        <f aca="false">IF(O660="No",ROUND(L660*M660/2,2),0)</f>
        <v>0</v>
      </c>
      <c r="R660" s="35" t="n">
        <f aca="false">Q660</f>
        <v>0</v>
      </c>
      <c r="S660" s="35" t="n">
        <f aca="false">L660+P660+Q660+R660</f>
        <v>0</v>
      </c>
      <c r="T660" s="34" t="str">
        <f aca="false">IF(A660="","",IFERROR(INDEX(Customers!$B$5:$B$204,MATCH(C660,Customers!$A$5:$A$204,0))&amp;"",""))</f>
        <v/>
      </c>
      <c r="U660" s="38" t="str">
        <f aca="false">IF(A660="","",IF(T660&lt;&gt;"","B2B",IF(AND(O660="Yes",SUMIF($A$5:$A$1004,A660,$L$5:$L$1004)+SUMIF($A$5:$A$1004,A660,$P$5:$P$1004)&gt;100000),"B2CL","B2CS")))</f>
        <v/>
      </c>
      <c r="V660" s="17" t="str">
        <f aca="false">IF(A660="","",TEXT(B660,"mmm-yyyy"))</f>
        <v/>
      </c>
    </row>
    <row r="661" customFormat="false" ht="15" hidden="false" customHeight="true" outlineLevel="0" collapsed="false">
      <c r="A661" s="24"/>
      <c r="B661" s="39"/>
      <c r="C661" s="24"/>
      <c r="D661" s="24"/>
      <c r="E661" s="40"/>
      <c r="F661" s="29"/>
      <c r="G661" s="30"/>
      <c r="H661" s="17" t="str">
        <f aca="false">IF(A661="","",A661&amp;"|"&amp;COUNTIF(A$5:A661,A661))</f>
        <v/>
      </c>
      <c r="I661" s="33" t="str">
        <f aca="false">IF(A661="","",IFERROR(INDEX(Items!$B$5:$B$304,MATCH(D661,Items!$A$5:$A$304,0))&amp;"",""))</f>
        <v/>
      </c>
      <c r="J661" s="34" t="str">
        <f aca="false">IF(A661="","",IFERROR(INDEX(Items!$C$5:$C$304,MATCH(D661,Items!$A$5:$A$304,0))&amp;"",""))</f>
        <v/>
      </c>
      <c r="K661" s="35" t="n">
        <f aca="false">IF(A661="",0,IF(ISNUMBER(F661),F661,IFERROR(INDEX(Items!$D$5:$D$304,MATCH(D661,Items!$A$5:$A$304,0)),0)))</f>
        <v>0</v>
      </c>
      <c r="L661" s="35" t="n">
        <f aca="false">ROUND(N(E661)*K661*(1-N(G661)),2)</f>
        <v>0</v>
      </c>
      <c r="M661" s="36" t="n">
        <f aca="false">IF(A661="",0,IFERROR(INDEX(Items!$E$5:$E$304,MATCH(D661,Items!$A$5:$A$304,0)),0))</f>
        <v>0</v>
      </c>
      <c r="N661" s="37" t="str">
        <f aca="false">IF(A661="","",IFERROR(INDEX(Customers!$E$5:$E$204,MATCH(C661,Customers!$A$5:$A$204,0)),"?"))</f>
        <v/>
      </c>
      <c r="O661" s="38" t="str">
        <f aca="false">IF(A661="","",IF(N661=Settings!$B$17,"No","Yes"))</f>
        <v/>
      </c>
      <c r="P661" s="35" t="n">
        <f aca="false">IF(O661="Yes",ROUND(L661*M661,2),0)</f>
        <v>0</v>
      </c>
      <c r="Q661" s="35" t="n">
        <f aca="false">IF(O661="No",ROUND(L661*M661/2,2),0)</f>
        <v>0</v>
      </c>
      <c r="R661" s="35" t="n">
        <f aca="false">Q661</f>
        <v>0</v>
      </c>
      <c r="S661" s="35" t="n">
        <f aca="false">L661+P661+Q661+R661</f>
        <v>0</v>
      </c>
      <c r="T661" s="34" t="str">
        <f aca="false">IF(A661="","",IFERROR(INDEX(Customers!$B$5:$B$204,MATCH(C661,Customers!$A$5:$A$204,0))&amp;"",""))</f>
        <v/>
      </c>
      <c r="U661" s="38" t="str">
        <f aca="false">IF(A661="","",IF(T661&lt;&gt;"","B2B",IF(AND(O661="Yes",SUMIF($A$5:$A$1004,A661,$L$5:$L$1004)+SUMIF($A$5:$A$1004,A661,$P$5:$P$1004)&gt;100000),"B2CL","B2CS")))</f>
        <v/>
      </c>
      <c r="V661" s="17" t="str">
        <f aca="false">IF(A661="","",TEXT(B661,"mmm-yyyy"))</f>
        <v/>
      </c>
    </row>
    <row r="662" customFormat="false" ht="15" hidden="false" customHeight="true" outlineLevel="0" collapsed="false">
      <c r="A662" s="24"/>
      <c r="B662" s="39"/>
      <c r="C662" s="24"/>
      <c r="D662" s="24"/>
      <c r="E662" s="40"/>
      <c r="F662" s="29"/>
      <c r="G662" s="30"/>
      <c r="H662" s="17" t="str">
        <f aca="false">IF(A662="","",A662&amp;"|"&amp;COUNTIF(A$5:A662,A662))</f>
        <v/>
      </c>
      <c r="I662" s="33" t="str">
        <f aca="false">IF(A662="","",IFERROR(INDEX(Items!$B$5:$B$304,MATCH(D662,Items!$A$5:$A$304,0))&amp;"",""))</f>
        <v/>
      </c>
      <c r="J662" s="34" t="str">
        <f aca="false">IF(A662="","",IFERROR(INDEX(Items!$C$5:$C$304,MATCH(D662,Items!$A$5:$A$304,0))&amp;"",""))</f>
        <v/>
      </c>
      <c r="K662" s="35" t="n">
        <f aca="false">IF(A662="",0,IF(ISNUMBER(F662),F662,IFERROR(INDEX(Items!$D$5:$D$304,MATCH(D662,Items!$A$5:$A$304,0)),0)))</f>
        <v>0</v>
      </c>
      <c r="L662" s="35" t="n">
        <f aca="false">ROUND(N(E662)*K662*(1-N(G662)),2)</f>
        <v>0</v>
      </c>
      <c r="M662" s="36" t="n">
        <f aca="false">IF(A662="",0,IFERROR(INDEX(Items!$E$5:$E$304,MATCH(D662,Items!$A$5:$A$304,0)),0))</f>
        <v>0</v>
      </c>
      <c r="N662" s="37" t="str">
        <f aca="false">IF(A662="","",IFERROR(INDEX(Customers!$E$5:$E$204,MATCH(C662,Customers!$A$5:$A$204,0)),"?"))</f>
        <v/>
      </c>
      <c r="O662" s="38" t="str">
        <f aca="false">IF(A662="","",IF(N662=Settings!$B$17,"No","Yes"))</f>
        <v/>
      </c>
      <c r="P662" s="35" t="n">
        <f aca="false">IF(O662="Yes",ROUND(L662*M662,2),0)</f>
        <v>0</v>
      </c>
      <c r="Q662" s="35" t="n">
        <f aca="false">IF(O662="No",ROUND(L662*M662/2,2),0)</f>
        <v>0</v>
      </c>
      <c r="R662" s="35" t="n">
        <f aca="false">Q662</f>
        <v>0</v>
      </c>
      <c r="S662" s="35" t="n">
        <f aca="false">L662+P662+Q662+R662</f>
        <v>0</v>
      </c>
      <c r="T662" s="34" t="str">
        <f aca="false">IF(A662="","",IFERROR(INDEX(Customers!$B$5:$B$204,MATCH(C662,Customers!$A$5:$A$204,0))&amp;"",""))</f>
        <v/>
      </c>
      <c r="U662" s="38" t="str">
        <f aca="false">IF(A662="","",IF(T662&lt;&gt;"","B2B",IF(AND(O662="Yes",SUMIF($A$5:$A$1004,A662,$L$5:$L$1004)+SUMIF($A$5:$A$1004,A662,$P$5:$P$1004)&gt;100000),"B2CL","B2CS")))</f>
        <v/>
      </c>
      <c r="V662" s="17" t="str">
        <f aca="false">IF(A662="","",TEXT(B662,"mmm-yyyy"))</f>
        <v/>
      </c>
    </row>
    <row r="663" customFormat="false" ht="15" hidden="false" customHeight="true" outlineLevel="0" collapsed="false">
      <c r="A663" s="24"/>
      <c r="B663" s="39"/>
      <c r="C663" s="24"/>
      <c r="D663" s="24"/>
      <c r="E663" s="40"/>
      <c r="F663" s="29"/>
      <c r="G663" s="30"/>
      <c r="H663" s="17" t="str">
        <f aca="false">IF(A663="","",A663&amp;"|"&amp;COUNTIF(A$5:A663,A663))</f>
        <v/>
      </c>
      <c r="I663" s="33" t="str">
        <f aca="false">IF(A663="","",IFERROR(INDEX(Items!$B$5:$B$304,MATCH(D663,Items!$A$5:$A$304,0))&amp;"",""))</f>
        <v/>
      </c>
      <c r="J663" s="34" t="str">
        <f aca="false">IF(A663="","",IFERROR(INDEX(Items!$C$5:$C$304,MATCH(D663,Items!$A$5:$A$304,0))&amp;"",""))</f>
        <v/>
      </c>
      <c r="K663" s="35" t="n">
        <f aca="false">IF(A663="",0,IF(ISNUMBER(F663),F663,IFERROR(INDEX(Items!$D$5:$D$304,MATCH(D663,Items!$A$5:$A$304,0)),0)))</f>
        <v>0</v>
      </c>
      <c r="L663" s="35" t="n">
        <f aca="false">ROUND(N(E663)*K663*(1-N(G663)),2)</f>
        <v>0</v>
      </c>
      <c r="M663" s="36" t="n">
        <f aca="false">IF(A663="",0,IFERROR(INDEX(Items!$E$5:$E$304,MATCH(D663,Items!$A$5:$A$304,0)),0))</f>
        <v>0</v>
      </c>
      <c r="N663" s="37" t="str">
        <f aca="false">IF(A663="","",IFERROR(INDEX(Customers!$E$5:$E$204,MATCH(C663,Customers!$A$5:$A$204,0)),"?"))</f>
        <v/>
      </c>
      <c r="O663" s="38" t="str">
        <f aca="false">IF(A663="","",IF(N663=Settings!$B$17,"No","Yes"))</f>
        <v/>
      </c>
      <c r="P663" s="35" t="n">
        <f aca="false">IF(O663="Yes",ROUND(L663*M663,2),0)</f>
        <v>0</v>
      </c>
      <c r="Q663" s="35" t="n">
        <f aca="false">IF(O663="No",ROUND(L663*M663/2,2),0)</f>
        <v>0</v>
      </c>
      <c r="R663" s="35" t="n">
        <f aca="false">Q663</f>
        <v>0</v>
      </c>
      <c r="S663" s="35" t="n">
        <f aca="false">L663+P663+Q663+R663</f>
        <v>0</v>
      </c>
      <c r="T663" s="34" t="str">
        <f aca="false">IF(A663="","",IFERROR(INDEX(Customers!$B$5:$B$204,MATCH(C663,Customers!$A$5:$A$204,0))&amp;"",""))</f>
        <v/>
      </c>
      <c r="U663" s="38" t="str">
        <f aca="false">IF(A663="","",IF(T663&lt;&gt;"","B2B",IF(AND(O663="Yes",SUMIF($A$5:$A$1004,A663,$L$5:$L$1004)+SUMIF($A$5:$A$1004,A663,$P$5:$P$1004)&gt;100000),"B2CL","B2CS")))</f>
        <v/>
      </c>
      <c r="V663" s="17" t="str">
        <f aca="false">IF(A663="","",TEXT(B663,"mmm-yyyy"))</f>
        <v/>
      </c>
    </row>
    <row r="664" customFormat="false" ht="15" hidden="false" customHeight="true" outlineLevel="0" collapsed="false">
      <c r="A664" s="24"/>
      <c r="B664" s="39"/>
      <c r="C664" s="24"/>
      <c r="D664" s="24"/>
      <c r="E664" s="40"/>
      <c r="F664" s="29"/>
      <c r="G664" s="30"/>
      <c r="H664" s="17" t="str">
        <f aca="false">IF(A664="","",A664&amp;"|"&amp;COUNTIF(A$5:A664,A664))</f>
        <v/>
      </c>
      <c r="I664" s="33" t="str">
        <f aca="false">IF(A664="","",IFERROR(INDEX(Items!$B$5:$B$304,MATCH(D664,Items!$A$5:$A$304,0))&amp;"",""))</f>
        <v/>
      </c>
      <c r="J664" s="34" t="str">
        <f aca="false">IF(A664="","",IFERROR(INDEX(Items!$C$5:$C$304,MATCH(D664,Items!$A$5:$A$304,0))&amp;"",""))</f>
        <v/>
      </c>
      <c r="K664" s="35" t="n">
        <f aca="false">IF(A664="",0,IF(ISNUMBER(F664),F664,IFERROR(INDEX(Items!$D$5:$D$304,MATCH(D664,Items!$A$5:$A$304,0)),0)))</f>
        <v>0</v>
      </c>
      <c r="L664" s="35" t="n">
        <f aca="false">ROUND(N(E664)*K664*(1-N(G664)),2)</f>
        <v>0</v>
      </c>
      <c r="M664" s="36" t="n">
        <f aca="false">IF(A664="",0,IFERROR(INDEX(Items!$E$5:$E$304,MATCH(D664,Items!$A$5:$A$304,0)),0))</f>
        <v>0</v>
      </c>
      <c r="N664" s="37" t="str">
        <f aca="false">IF(A664="","",IFERROR(INDEX(Customers!$E$5:$E$204,MATCH(C664,Customers!$A$5:$A$204,0)),"?"))</f>
        <v/>
      </c>
      <c r="O664" s="38" t="str">
        <f aca="false">IF(A664="","",IF(N664=Settings!$B$17,"No","Yes"))</f>
        <v/>
      </c>
      <c r="P664" s="35" t="n">
        <f aca="false">IF(O664="Yes",ROUND(L664*M664,2),0)</f>
        <v>0</v>
      </c>
      <c r="Q664" s="35" t="n">
        <f aca="false">IF(O664="No",ROUND(L664*M664/2,2),0)</f>
        <v>0</v>
      </c>
      <c r="R664" s="35" t="n">
        <f aca="false">Q664</f>
        <v>0</v>
      </c>
      <c r="S664" s="35" t="n">
        <f aca="false">L664+P664+Q664+R664</f>
        <v>0</v>
      </c>
      <c r="T664" s="34" t="str">
        <f aca="false">IF(A664="","",IFERROR(INDEX(Customers!$B$5:$B$204,MATCH(C664,Customers!$A$5:$A$204,0))&amp;"",""))</f>
        <v/>
      </c>
      <c r="U664" s="38" t="str">
        <f aca="false">IF(A664="","",IF(T664&lt;&gt;"","B2B",IF(AND(O664="Yes",SUMIF($A$5:$A$1004,A664,$L$5:$L$1004)+SUMIF($A$5:$A$1004,A664,$P$5:$P$1004)&gt;100000),"B2CL","B2CS")))</f>
        <v/>
      </c>
      <c r="V664" s="17" t="str">
        <f aca="false">IF(A664="","",TEXT(B664,"mmm-yyyy"))</f>
        <v/>
      </c>
    </row>
    <row r="665" customFormat="false" ht="15" hidden="false" customHeight="true" outlineLevel="0" collapsed="false">
      <c r="A665" s="24"/>
      <c r="B665" s="39"/>
      <c r="C665" s="24"/>
      <c r="D665" s="24"/>
      <c r="E665" s="40"/>
      <c r="F665" s="29"/>
      <c r="G665" s="30"/>
      <c r="H665" s="17" t="str">
        <f aca="false">IF(A665="","",A665&amp;"|"&amp;COUNTIF(A$5:A665,A665))</f>
        <v/>
      </c>
      <c r="I665" s="33" t="str">
        <f aca="false">IF(A665="","",IFERROR(INDEX(Items!$B$5:$B$304,MATCH(D665,Items!$A$5:$A$304,0))&amp;"",""))</f>
        <v/>
      </c>
      <c r="J665" s="34" t="str">
        <f aca="false">IF(A665="","",IFERROR(INDEX(Items!$C$5:$C$304,MATCH(D665,Items!$A$5:$A$304,0))&amp;"",""))</f>
        <v/>
      </c>
      <c r="K665" s="35" t="n">
        <f aca="false">IF(A665="",0,IF(ISNUMBER(F665),F665,IFERROR(INDEX(Items!$D$5:$D$304,MATCH(D665,Items!$A$5:$A$304,0)),0)))</f>
        <v>0</v>
      </c>
      <c r="L665" s="35" t="n">
        <f aca="false">ROUND(N(E665)*K665*(1-N(G665)),2)</f>
        <v>0</v>
      </c>
      <c r="M665" s="36" t="n">
        <f aca="false">IF(A665="",0,IFERROR(INDEX(Items!$E$5:$E$304,MATCH(D665,Items!$A$5:$A$304,0)),0))</f>
        <v>0</v>
      </c>
      <c r="N665" s="37" t="str">
        <f aca="false">IF(A665="","",IFERROR(INDEX(Customers!$E$5:$E$204,MATCH(C665,Customers!$A$5:$A$204,0)),"?"))</f>
        <v/>
      </c>
      <c r="O665" s="38" t="str">
        <f aca="false">IF(A665="","",IF(N665=Settings!$B$17,"No","Yes"))</f>
        <v/>
      </c>
      <c r="P665" s="35" t="n">
        <f aca="false">IF(O665="Yes",ROUND(L665*M665,2),0)</f>
        <v>0</v>
      </c>
      <c r="Q665" s="35" t="n">
        <f aca="false">IF(O665="No",ROUND(L665*M665/2,2),0)</f>
        <v>0</v>
      </c>
      <c r="R665" s="35" t="n">
        <f aca="false">Q665</f>
        <v>0</v>
      </c>
      <c r="S665" s="35" t="n">
        <f aca="false">L665+P665+Q665+R665</f>
        <v>0</v>
      </c>
      <c r="T665" s="34" t="str">
        <f aca="false">IF(A665="","",IFERROR(INDEX(Customers!$B$5:$B$204,MATCH(C665,Customers!$A$5:$A$204,0))&amp;"",""))</f>
        <v/>
      </c>
      <c r="U665" s="38" t="str">
        <f aca="false">IF(A665="","",IF(T665&lt;&gt;"","B2B",IF(AND(O665="Yes",SUMIF($A$5:$A$1004,A665,$L$5:$L$1004)+SUMIF($A$5:$A$1004,A665,$P$5:$P$1004)&gt;100000),"B2CL","B2CS")))</f>
        <v/>
      </c>
      <c r="V665" s="17" t="str">
        <f aca="false">IF(A665="","",TEXT(B665,"mmm-yyyy"))</f>
        <v/>
      </c>
    </row>
    <row r="666" customFormat="false" ht="15" hidden="false" customHeight="true" outlineLevel="0" collapsed="false">
      <c r="A666" s="24"/>
      <c r="B666" s="39"/>
      <c r="C666" s="24"/>
      <c r="D666" s="24"/>
      <c r="E666" s="40"/>
      <c r="F666" s="29"/>
      <c r="G666" s="30"/>
      <c r="H666" s="17" t="str">
        <f aca="false">IF(A666="","",A666&amp;"|"&amp;COUNTIF(A$5:A666,A666))</f>
        <v/>
      </c>
      <c r="I666" s="33" t="str">
        <f aca="false">IF(A666="","",IFERROR(INDEX(Items!$B$5:$B$304,MATCH(D666,Items!$A$5:$A$304,0))&amp;"",""))</f>
        <v/>
      </c>
      <c r="J666" s="34" t="str">
        <f aca="false">IF(A666="","",IFERROR(INDEX(Items!$C$5:$C$304,MATCH(D666,Items!$A$5:$A$304,0))&amp;"",""))</f>
        <v/>
      </c>
      <c r="K666" s="35" t="n">
        <f aca="false">IF(A666="",0,IF(ISNUMBER(F666),F666,IFERROR(INDEX(Items!$D$5:$D$304,MATCH(D666,Items!$A$5:$A$304,0)),0)))</f>
        <v>0</v>
      </c>
      <c r="L666" s="35" t="n">
        <f aca="false">ROUND(N(E666)*K666*(1-N(G666)),2)</f>
        <v>0</v>
      </c>
      <c r="M666" s="36" t="n">
        <f aca="false">IF(A666="",0,IFERROR(INDEX(Items!$E$5:$E$304,MATCH(D666,Items!$A$5:$A$304,0)),0))</f>
        <v>0</v>
      </c>
      <c r="N666" s="37" t="str">
        <f aca="false">IF(A666="","",IFERROR(INDEX(Customers!$E$5:$E$204,MATCH(C666,Customers!$A$5:$A$204,0)),"?"))</f>
        <v/>
      </c>
      <c r="O666" s="38" t="str">
        <f aca="false">IF(A666="","",IF(N666=Settings!$B$17,"No","Yes"))</f>
        <v/>
      </c>
      <c r="P666" s="35" t="n">
        <f aca="false">IF(O666="Yes",ROUND(L666*M666,2),0)</f>
        <v>0</v>
      </c>
      <c r="Q666" s="35" t="n">
        <f aca="false">IF(O666="No",ROUND(L666*M666/2,2),0)</f>
        <v>0</v>
      </c>
      <c r="R666" s="35" t="n">
        <f aca="false">Q666</f>
        <v>0</v>
      </c>
      <c r="S666" s="35" t="n">
        <f aca="false">L666+P666+Q666+R666</f>
        <v>0</v>
      </c>
      <c r="T666" s="34" t="str">
        <f aca="false">IF(A666="","",IFERROR(INDEX(Customers!$B$5:$B$204,MATCH(C666,Customers!$A$5:$A$204,0))&amp;"",""))</f>
        <v/>
      </c>
      <c r="U666" s="38" t="str">
        <f aca="false">IF(A666="","",IF(T666&lt;&gt;"","B2B",IF(AND(O666="Yes",SUMIF($A$5:$A$1004,A666,$L$5:$L$1004)+SUMIF($A$5:$A$1004,A666,$P$5:$P$1004)&gt;100000),"B2CL","B2CS")))</f>
        <v/>
      </c>
      <c r="V666" s="17" t="str">
        <f aca="false">IF(A666="","",TEXT(B666,"mmm-yyyy"))</f>
        <v/>
      </c>
    </row>
    <row r="667" customFormat="false" ht="15" hidden="false" customHeight="true" outlineLevel="0" collapsed="false">
      <c r="A667" s="24"/>
      <c r="B667" s="39"/>
      <c r="C667" s="24"/>
      <c r="D667" s="24"/>
      <c r="E667" s="40"/>
      <c r="F667" s="29"/>
      <c r="G667" s="30"/>
      <c r="H667" s="17" t="str">
        <f aca="false">IF(A667="","",A667&amp;"|"&amp;COUNTIF(A$5:A667,A667))</f>
        <v/>
      </c>
      <c r="I667" s="33" t="str">
        <f aca="false">IF(A667="","",IFERROR(INDEX(Items!$B$5:$B$304,MATCH(D667,Items!$A$5:$A$304,0))&amp;"",""))</f>
        <v/>
      </c>
      <c r="J667" s="34" t="str">
        <f aca="false">IF(A667="","",IFERROR(INDEX(Items!$C$5:$C$304,MATCH(D667,Items!$A$5:$A$304,0))&amp;"",""))</f>
        <v/>
      </c>
      <c r="K667" s="35" t="n">
        <f aca="false">IF(A667="",0,IF(ISNUMBER(F667),F667,IFERROR(INDEX(Items!$D$5:$D$304,MATCH(D667,Items!$A$5:$A$304,0)),0)))</f>
        <v>0</v>
      </c>
      <c r="L667" s="35" t="n">
        <f aca="false">ROUND(N(E667)*K667*(1-N(G667)),2)</f>
        <v>0</v>
      </c>
      <c r="M667" s="36" t="n">
        <f aca="false">IF(A667="",0,IFERROR(INDEX(Items!$E$5:$E$304,MATCH(D667,Items!$A$5:$A$304,0)),0))</f>
        <v>0</v>
      </c>
      <c r="N667" s="37" t="str">
        <f aca="false">IF(A667="","",IFERROR(INDEX(Customers!$E$5:$E$204,MATCH(C667,Customers!$A$5:$A$204,0)),"?"))</f>
        <v/>
      </c>
      <c r="O667" s="38" t="str">
        <f aca="false">IF(A667="","",IF(N667=Settings!$B$17,"No","Yes"))</f>
        <v/>
      </c>
      <c r="P667" s="35" t="n">
        <f aca="false">IF(O667="Yes",ROUND(L667*M667,2),0)</f>
        <v>0</v>
      </c>
      <c r="Q667" s="35" t="n">
        <f aca="false">IF(O667="No",ROUND(L667*M667/2,2),0)</f>
        <v>0</v>
      </c>
      <c r="R667" s="35" t="n">
        <f aca="false">Q667</f>
        <v>0</v>
      </c>
      <c r="S667" s="35" t="n">
        <f aca="false">L667+P667+Q667+R667</f>
        <v>0</v>
      </c>
      <c r="T667" s="34" t="str">
        <f aca="false">IF(A667="","",IFERROR(INDEX(Customers!$B$5:$B$204,MATCH(C667,Customers!$A$5:$A$204,0))&amp;"",""))</f>
        <v/>
      </c>
      <c r="U667" s="38" t="str">
        <f aca="false">IF(A667="","",IF(T667&lt;&gt;"","B2B",IF(AND(O667="Yes",SUMIF($A$5:$A$1004,A667,$L$5:$L$1004)+SUMIF($A$5:$A$1004,A667,$P$5:$P$1004)&gt;100000),"B2CL","B2CS")))</f>
        <v/>
      </c>
      <c r="V667" s="17" t="str">
        <f aca="false">IF(A667="","",TEXT(B667,"mmm-yyyy"))</f>
        <v/>
      </c>
    </row>
    <row r="668" customFormat="false" ht="15" hidden="false" customHeight="true" outlineLevel="0" collapsed="false">
      <c r="A668" s="24"/>
      <c r="B668" s="39"/>
      <c r="C668" s="24"/>
      <c r="D668" s="24"/>
      <c r="E668" s="40"/>
      <c r="F668" s="29"/>
      <c r="G668" s="30"/>
      <c r="H668" s="17" t="str">
        <f aca="false">IF(A668="","",A668&amp;"|"&amp;COUNTIF(A$5:A668,A668))</f>
        <v/>
      </c>
      <c r="I668" s="33" t="str">
        <f aca="false">IF(A668="","",IFERROR(INDEX(Items!$B$5:$B$304,MATCH(D668,Items!$A$5:$A$304,0))&amp;"",""))</f>
        <v/>
      </c>
      <c r="J668" s="34" t="str">
        <f aca="false">IF(A668="","",IFERROR(INDEX(Items!$C$5:$C$304,MATCH(D668,Items!$A$5:$A$304,0))&amp;"",""))</f>
        <v/>
      </c>
      <c r="K668" s="35" t="n">
        <f aca="false">IF(A668="",0,IF(ISNUMBER(F668),F668,IFERROR(INDEX(Items!$D$5:$D$304,MATCH(D668,Items!$A$5:$A$304,0)),0)))</f>
        <v>0</v>
      </c>
      <c r="L668" s="35" t="n">
        <f aca="false">ROUND(N(E668)*K668*(1-N(G668)),2)</f>
        <v>0</v>
      </c>
      <c r="M668" s="36" t="n">
        <f aca="false">IF(A668="",0,IFERROR(INDEX(Items!$E$5:$E$304,MATCH(D668,Items!$A$5:$A$304,0)),0))</f>
        <v>0</v>
      </c>
      <c r="N668" s="37" t="str">
        <f aca="false">IF(A668="","",IFERROR(INDEX(Customers!$E$5:$E$204,MATCH(C668,Customers!$A$5:$A$204,0)),"?"))</f>
        <v/>
      </c>
      <c r="O668" s="38" t="str">
        <f aca="false">IF(A668="","",IF(N668=Settings!$B$17,"No","Yes"))</f>
        <v/>
      </c>
      <c r="P668" s="35" t="n">
        <f aca="false">IF(O668="Yes",ROUND(L668*M668,2),0)</f>
        <v>0</v>
      </c>
      <c r="Q668" s="35" t="n">
        <f aca="false">IF(O668="No",ROUND(L668*M668/2,2),0)</f>
        <v>0</v>
      </c>
      <c r="R668" s="35" t="n">
        <f aca="false">Q668</f>
        <v>0</v>
      </c>
      <c r="S668" s="35" t="n">
        <f aca="false">L668+P668+Q668+R668</f>
        <v>0</v>
      </c>
      <c r="T668" s="34" t="str">
        <f aca="false">IF(A668="","",IFERROR(INDEX(Customers!$B$5:$B$204,MATCH(C668,Customers!$A$5:$A$204,0))&amp;"",""))</f>
        <v/>
      </c>
      <c r="U668" s="38" t="str">
        <f aca="false">IF(A668="","",IF(T668&lt;&gt;"","B2B",IF(AND(O668="Yes",SUMIF($A$5:$A$1004,A668,$L$5:$L$1004)+SUMIF($A$5:$A$1004,A668,$P$5:$P$1004)&gt;100000),"B2CL","B2CS")))</f>
        <v/>
      </c>
      <c r="V668" s="17" t="str">
        <f aca="false">IF(A668="","",TEXT(B668,"mmm-yyyy"))</f>
        <v/>
      </c>
    </row>
    <row r="669" customFormat="false" ht="15" hidden="false" customHeight="true" outlineLevel="0" collapsed="false">
      <c r="A669" s="24"/>
      <c r="B669" s="39"/>
      <c r="C669" s="24"/>
      <c r="D669" s="24"/>
      <c r="E669" s="40"/>
      <c r="F669" s="29"/>
      <c r="G669" s="30"/>
      <c r="H669" s="17" t="str">
        <f aca="false">IF(A669="","",A669&amp;"|"&amp;COUNTIF(A$5:A669,A669))</f>
        <v/>
      </c>
      <c r="I669" s="33" t="str">
        <f aca="false">IF(A669="","",IFERROR(INDEX(Items!$B$5:$B$304,MATCH(D669,Items!$A$5:$A$304,0))&amp;"",""))</f>
        <v/>
      </c>
      <c r="J669" s="34" t="str">
        <f aca="false">IF(A669="","",IFERROR(INDEX(Items!$C$5:$C$304,MATCH(D669,Items!$A$5:$A$304,0))&amp;"",""))</f>
        <v/>
      </c>
      <c r="K669" s="35" t="n">
        <f aca="false">IF(A669="",0,IF(ISNUMBER(F669),F669,IFERROR(INDEX(Items!$D$5:$D$304,MATCH(D669,Items!$A$5:$A$304,0)),0)))</f>
        <v>0</v>
      </c>
      <c r="L669" s="35" t="n">
        <f aca="false">ROUND(N(E669)*K669*(1-N(G669)),2)</f>
        <v>0</v>
      </c>
      <c r="M669" s="36" t="n">
        <f aca="false">IF(A669="",0,IFERROR(INDEX(Items!$E$5:$E$304,MATCH(D669,Items!$A$5:$A$304,0)),0))</f>
        <v>0</v>
      </c>
      <c r="N669" s="37" t="str">
        <f aca="false">IF(A669="","",IFERROR(INDEX(Customers!$E$5:$E$204,MATCH(C669,Customers!$A$5:$A$204,0)),"?"))</f>
        <v/>
      </c>
      <c r="O669" s="38" t="str">
        <f aca="false">IF(A669="","",IF(N669=Settings!$B$17,"No","Yes"))</f>
        <v/>
      </c>
      <c r="P669" s="35" t="n">
        <f aca="false">IF(O669="Yes",ROUND(L669*M669,2),0)</f>
        <v>0</v>
      </c>
      <c r="Q669" s="35" t="n">
        <f aca="false">IF(O669="No",ROUND(L669*M669/2,2),0)</f>
        <v>0</v>
      </c>
      <c r="R669" s="35" t="n">
        <f aca="false">Q669</f>
        <v>0</v>
      </c>
      <c r="S669" s="35" t="n">
        <f aca="false">L669+P669+Q669+R669</f>
        <v>0</v>
      </c>
      <c r="T669" s="34" t="str">
        <f aca="false">IF(A669="","",IFERROR(INDEX(Customers!$B$5:$B$204,MATCH(C669,Customers!$A$5:$A$204,0))&amp;"",""))</f>
        <v/>
      </c>
      <c r="U669" s="38" t="str">
        <f aca="false">IF(A669="","",IF(T669&lt;&gt;"","B2B",IF(AND(O669="Yes",SUMIF($A$5:$A$1004,A669,$L$5:$L$1004)+SUMIF($A$5:$A$1004,A669,$P$5:$P$1004)&gt;100000),"B2CL","B2CS")))</f>
        <v/>
      </c>
      <c r="V669" s="17" t="str">
        <f aca="false">IF(A669="","",TEXT(B669,"mmm-yyyy"))</f>
        <v/>
      </c>
    </row>
    <row r="670" customFormat="false" ht="15" hidden="false" customHeight="true" outlineLevel="0" collapsed="false">
      <c r="A670" s="24"/>
      <c r="B670" s="39"/>
      <c r="C670" s="24"/>
      <c r="D670" s="24"/>
      <c r="E670" s="40"/>
      <c r="F670" s="29"/>
      <c r="G670" s="30"/>
      <c r="H670" s="17" t="str">
        <f aca="false">IF(A670="","",A670&amp;"|"&amp;COUNTIF(A$5:A670,A670))</f>
        <v/>
      </c>
      <c r="I670" s="33" t="str">
        <f aca="false">IF(A670="","",IFERROR(INDEX(Items!$B$5:$B$304,MATCH(D670,Items!$A$5:$A$304,0))&amp;"",""))</f>
        <v/>
      </c>
      <c r="J670" s="34" t="str">
        <f aca="false">IF(A670="","",IFERROR(INDEX(Items!$C$5:$C$304,MATCH(D670,Items!$A$5:$A$304,0))&amp;"",""))</f>
        <v/>
      </c>
      <c r="K670" s="35" t="n">
        <f aca="false">IF(A670="",0,IF(ISNUMBER(F670),F670,IFERROR(INDEX(Items!$D$5:$D$304,MATCH(D670,Items!$A$5:$A$304,0)),0)))</f>
        <v>0</v>
      </c>
      <c r="L670" s="35" t="n">
        <f aca="false">ROUND(N(E670)*K670*(1-N(G670)),2)</f>
        <v>0</v>
      </c>
      <c r="M670" s="36" t="n">
        <f aca="false">IF(A670="",0,IFERROR(INDEX(Items!$E$5:$E$304,MATCH(D670,Items!$A$5:$A$304,0)),0))</f>
        <v>0</v>
      </c>
      <c r="N670" s="37" t="str">
        <f aca="false">IF(A670="","",IFERROR(INDEX(Customers!$E$5:$E$204,MATCH(C670,Customers!$A$5:$A$204,0)),"?"))</f>
        <v/>
      </c>
      <c r="O670" s="38" t="str">
        <f aca="false">IF(A670="","",IF(N670=Settings!$B$17,"No","Yes"))</f>
        <v/>
      </c>
      <c r="P670" s="35" t="n">
        <f aca="false">IF(O670="Yes",ROUND(L670*M670,2),0)</f>
        <v>0</v>
      </c>
      <c r="Q670" s="35" t="n">
        <f aca="false">IF(O670="No",ROUND(L670*M670/2,2),0)</f>
        <v>0</v>
      </c>
      <c r="R670" s="35" t="n">
        <f aca="false">Q670</f>
        <v>0</v>
      </c>
      <c r="S670" s="35" t="n">
        <f aca="false">L670+P670+Q670+R670</f>
        <v>0</v>
      </c>
      <c r="T670" s="34" t="str">
        <f aca="false">IF(A670="","",IFERROR(INDEX(Customers!$B$5:$B$204,MATCH(C670,Customers!$A$5:$A$204,0))&amp;"",""))</f>
        <v/>
      </c>
      <c r="U670" s="38" t="str">
        <f aca="false">IF(A670="","",IF(T670&lt;&gt;"","B2B",IF(AND(O670="Yes",SUMIF($A$5:$A$1004,A670,$L$5:$L$1004)+SUMIF($A$5:$A$1004,A670,$P$5:$P$1004)&gt;100000),"B2CL","B2CS")))</f>
        <v/>
      </c>
      <c r="V670" s="17" t="str">
        <f aca="false">IF(A670="","",TEXT(B670,"mmm-yyyy"))</f>
        <v/>
      </c>
    </row>
    <row r="671" customFormat="false" ht="15" hidden="false" customHeight="true" outlineLevel="0" collapsed="false">
      <c r="A671" s="24"/>
      <c r="B671" s="39"/>
      <c r="C671" s="24"/>
      <c r="D671" s="24"/>
      <c r="E671" s="40"/>
      <c r="F671" s="29"/>
      <c r="G671" s="30"/>
      <c r="H671" s="17" t="str">
        <f aca="false">IF(A671="","",A671&amp;"|"&amp;COUNTIF(A$5:A671,A671))</f>
        <v/>
      </c>
      <c r="I671" s="33" t="str">
        <f aca="false">IF(A671="","",IFERROR(INDEX(Items!$B$5:$B$304,MATCH(D671,Items!$A$5:$A$304,0))&amp;"",""))</f>
        <v/>
      </c>
      <c r="J671" s="34" t="str">
        <f aca="false">IF(A671="","",IFERROR(INDEX(Items!$C$5:$C$304,MATCH(D671,Items!$A$5:$A$304,0))&amp;"",""))</f>
        <v/>
      </c>
      <c r="K671" s="35" t="n">
        <f aca="false">IF(A671="",0,IF(ISNUMBER(F671),F671,IFERROR(INDEX(Items!$D$5:$D$304,MATCH(D671,Items!$A$5:$A$304,0)),0)))</f>
        <v>0</v>
      </c>
      <c r="L671" s="35" t="n">
        <f aca="false">ROUND(N(E671)*K671*(1-N(G671)),2)</f>
        <v>0</v>
      </c>
      <c r="M671" s="36" t="n">
        <f aca="false">IF(A671="",0,IFERROR(INDEX(Items!$E$5:$E$304,MATCH(D671,Items!$A$5:$A$304,0)),0))</f>
        <v>0</v>
      </c>
      <c r="N671" s="37" t="str">
        <f aca="false">IF(A671="","",IFERROR(INDEX(Customers!$E$5:$E$204,MATCH(C671,Customers!$A$5:$A$204,0)),"?"))</f>
        <v/>
      </c>
      <c r="O671" s="38" t="str">
        <f aca="false">IF(A671="","",IF(N671=Settings!$B$17,"No","Yes"))</f>
        <v/>
      </c>
      <c r="P671" s="35" t="n">
        <f aca="false">IF(O671="Yes",ROUND(L671*M671,2),0)</f>
        <v>0</v>
      </c>
      <c r="Q671" s="35" t="n">
        <f aca="false">IF(O671="No",ROUND(L671*M671/2,2),0)</f>
        <v>0</v>
      </c>
      <c r="R671" s="35" t="n">
        <f aca="false">Q671</f>
        <v>0</v>
      </c>
      <c r="S671" s="35" t="n">
        <f aca="false">L671+P671+Q671+R671</f>
        <v>0</v>
      </c>
      <c r="T671" s="34" t="str">
        <f aca="false">IF(A671="","",IFERROR(INDEX(Customers!$B$5:$B$204,MATCH(C671,Customers!$A$5:$A$204,0))&amp;"",""))</f>
        <v/>
      </c>
      <c r="U671" s="38" t="str">
        <f aca="false">IF(A671="","",IF(T671&lt;&gt;"","B2B",IF(AND(O671="Yes",SUMIF($A$5:$A$1004,A671,$L$5:$L$1004)+SUMIF($A$5:$A$1004,A671,$P$5:$P$1004)&gt;100000),"B2CL","B2CS")))</f>
        <v/>
      </c>
      <c r="V671" s="17" t="str">
        <f aca="false">IF(A671="","",TEXT(B671,"mmm-yyyy"))</f>
        <v/>
      </c>
    </row>
    <row r="672" customFormat="false" ht="15" hidden="false" customHeight="true" outlineLevel="0" collapsed="false">
      <c r="A672" s="24"/>
      <c r="B672" s="39"/>
      <c r="C672" s="24"/>
      <c r="D672" s="24"/>
      <c r="E672" s="40"/>
      <c r="F672" s="29"/>
      <c r="G672" s="30"/>
      <c r="H672" s="17" t="str">
        <f aca="false">IF(A672="","",A672&amp;"|"&amp;COUNTIF(A$5:A672,A672))</f>
        <v/>
      </c>
      <c r="I672" s="33" t="str">
        <f aca="false">IF(A672="","",IFERROR(INDEX(Items!$B$5:$B$304,MATCH(D672,Items!$A$5:$A$304,0))&amp;"",""))</f>
        <v/>
      </c>
      <c r="J672" s="34" t="str">
        <f aca="false">IF(A672="","",IFERROR(INDEX(Items!$C$5:$C$304,MATCH(D672,Items!$A$5:$A$304,0))&amp;"",""))</f>
        <v/>
      </c>
      <c r="K672" s="35" t="n">
        <f aca="false">IF(A672="",0,IF(ISNUMBER(F672),F672,IFERROR(INDEX(Items!$D$5:$D$304,MATCH(D672,Items!$A$5:$A$304,0)),0)))</f>
        <v>0</v>
      </c>
      <c r="L672" s="35" t="n">
        <f aca="false">ROUND(N(E672)*K672*(1-N(G672)),2)</f>
        <v>0</v>
      </c>
      <c r="M672" s="36" t="n">
        <f aca="false">IF(A672="",0,IFERROR(INDEX(Items!$E$5:$E$304,MATCH(D672,Items!$A$5:$A$304,0)),0))</f>
        <v>0</v>
      </c>
      <c r="N672" s="37" t="str">
        <f aca="false">IF(A672="","",IFERROR(INDEX(Customers!$E$5:$E$204,MATCH(C672,Customers!$A$5:$A$204,0)),"?"))</f>
        <v/>
      </c>
      <c r="O672" s="38" t="str">
        <f aca="false">IF(A672="","",IF(N672=Settings!$B$17,"No","Yes"))</f>
        <v/>
      </c>
      <c r="P672" s="35" t="n">
        <f aca="false">IF(O672="Yes",ROUND(L672*M672,2),0)</f>
        <v>0</v>
      </c>
      <c r="Q672" s="35" t="n">
        <f aca="false">IF(O672="No",ROUND(L672*M672/2,2),0)</f>
        <v>0</v>
      </c>
      <c r="R672" s="35" t="n">
        <f aca="false">Q672</f>
        <v>0</v>
      </c>
      <c r="S672" s="35" t="n">
        <f aca="false">L672+P672+Q672+R672</f>
        <v>0</v>
      </c>
      <c r="T672" s="34" t="str">
        <f aca="false">IF(A672="","",IFERROR(INDEX(Customers!$B$5:$B$204,MATCH(C672,Customers!$A$5:$A$204,0))&amp;"",""))</f>
        <v/>
      </c>
      <c r="U672" s="38" t="str">
        <f aca="false">IF(A672="","",IF(T672&lt;&gt;"","B2B",IF(AND(O672="Yes",SUMIF($A$5:$A$1004,A672,$L$5:$L$1004)+SUMIF($A$5:$A$1004,A672,$P$5:$P$1004)&gt;100000),"B2CL","B2CS")))</f>
        <v/>
      </c>
      <c r="V672" s="17" t="str">
        <f aca="false">IF(A672="","",TEXT(B672,"mmm-yyyy"))</f>
        <v/>
      </c>
    </row>
    <row r="673" customFormat="false" ht="15" hidden="false" customHeight="true" outlineLevel="0" collapsed="false">
      <c r="A673" s="24"/>
      <c r="B673" s="39"/>
      <c r="C673" s="24"/>
      <c r="D673" s="24"/>
      <c r="E673" s="40"/>
      <c r="F673" s="29"/>
      <c r="G673" s="30"/>
      <c r="H673" s="17" t="str">
        <f aca="false">IF(A673="","",A673&amp;"|"&amp;COUNTIF(A$5:A673,A673))</f>
        <v/>
      </c>
      <c r="I673" s="33" t="str">
        <f aca="false">IF(A673="","",IFERROR(INDEX(Items!$B$5:$B$304,MATCH(D673,Items!$A$5:$A$304,0))&amp;"",""))</f>
        <v/>
      </c>
      <c r="J673" s="34" t="str">
        <f aca="false">IF(A673="","",IFERROR(INDEX(Items!$C$5:$C$304,MATCH(D673,Items!$A$5:$A$304,0))&amp;"",""))</f>
        <v/>
      </c>
      <c r="K673" s="35" t="n">
        <f aca="false">IF(A673="",0,IF(ISNUMBER(F673),F673,IFERROR(INDEX(Items!$D$5:$D$304,MATCH(D673,Items!$A$5:$A$304,0)),0)))</f>
        <v>0</v>
      </c>
      <c r="L673" s="35" t="n">
        <f aca="false">ROUND(N(E673)*K673*(1-N(G673)),2)</f>
        <v>0</v>
      </c>
      <c r="M673" s="36" t="n">
        <f aca="false">IF(A673="",0,IFERROR(INDEX(Items!$E$5:$E$304,MATCH(D673,Items!$A$5:$A$304,0)),0))</f>
        <v>0</v>
      </c>
      <c r="N673" s="37" t="str">
        <f aca="false">IF(A673="","",IFERROR(INDEX(Customers!$E$5:$E$204,MATCH(C673,Customers!$A$5:$A$204,0)),"?"))</f>
        <v/>
      </c>
      <c r="O673" s="38" t="str">
        <f aca="false">IF(A673="","",IF(N673=Settings!$B$17,"No","Yes"))</f>
        <v/>
      </c>
      <c r="P673" s="35" t="n">
        <f aca="false">IF(O673="Yes",ROUND(L673*M673,2),0)</f>
        <v>0</v>
      </c>
      <c r="Q673" s="35" t="n">
        <f aca="false">IF(O673="No",ROUND(L673*M673/2,2),0)</f>
        <v>0</v>
      </c>
      <c r="R673" s="35" t="n">
        <f aca="false">Q673</f>
        <v>0</v>
      </c>
      <c r="S673" s="35" t="n">
        <f aca="false">L673+P673+Q673+R673</f>
        <v>0</v>
      </c>
      <c r="T673" s="34" t="str">
        <f aca="false">IF(A673="","",IFERROR(INDEX(Customers!$B$5:$B$204,MATCH(C673,Customers!$A$5:$A$204,0))&amp;"",""))</f>
        <v/>
      </c>
      <c r="U673" s="38" t="str">
        <f aca="false">IF(A673="","",IF(T673&lt;&gt;"","B2B",IF(AND(O673="Yes",SUMIF($A$5:$A$1004,A673,$L$5:$L$1004)+SUMIF($A$5:$A$1004,A673,$P$5:$P$1004)&gt;100000),"B2CL","B2CS")))</f>
        <v/>
      </c>
      <c r="V673" s="17" t="str">
        <f aca="false">IF(A673="","",TEXT(B673,"mmm-yyyy"))</f>
        <v/>
      </c>
    </row>
    <row r="674" customFormat="false" ht="15" hidden="false" customHeight="true" outlineLevel="0" collapsed="false">
      <c r="A674" s="24"/>
      <c r="B674" s="39"/>
      <c r="C674" s="24"/>
      <c r="D674" s="24"/>
      <c r="E674" s="40"/>
      <c r="F674" s="29"/>
      <c r="G674" s="30"/>
      <c r="H674" s="17" t="str">
        <f aca="false">IF(A674="","",A674&amp;"|"&amp;COUNTIF(A$5:A674,A674))</f>
        <v/>
      </c>
      <c r="I674" s="33" t="str">
        <f aca="false">IF(A674="","",IFERROR(INDEX(Items!$B$5:$B$304,MATCH(D674,Items!$A$5:$A$304,0))&amp;"",""))</f>
        <v/>
      </c>
      <c r="J674" s="34" t="str">
        <f aca="false">IF(A674="","",IFERROR(INDEX(Items!$C$5:$C$304,MATCH(D674,Items!$A$5:$A$304,0))&amp;"",""))</f>
        <v/>
      </c>
      <c r="K674" s="35" t="n">
        <f aca="false">IF(A674="",0,IF(ISNUMBER(F674),F674,IFERROR(INDEX(Items!$D$5:$D$304,MATCH(D674,Items!$A$5:$A$304,0)),0)))</f>
        <v>0</v>
      </c>
      <c r="L674" s="35" t="n">
        <f aca="false">ROUND(N(E674)*K674*(1-N(G674)),2)</f>
        <v>0</v>
      </c>
      <c r="M674" s="36" t="n">
        <f aca="false">IF(A674="",0,IFERROR(INDEX(Items!$E$5:$E$304,MATCH(D674,Items!$A$5:$A$304,0)),0))</f>
        <v>0</v>
      </c>
      <c r="N674" s="37" t="str">
        <f aca="false">IF(A674="","",IFERROR(INDEX(Customers!$E$5:$E$204,MATCH(C674,Customers!$A$5:$A$204,0)),"?"))</f>
        <v/>
      </c>
      <c r="O674" s="38" t="str">
        <f aca="false">IF(A674="","",IF(N674=Settings!$B$17,"No","Yes"))</f>
        <v/>
      </c>
      <c r="P674" s="35" t="n">
        <f aca="false">IF(O674="Yes",ROUND(L674*M674,2),0)</f>
        <v>0</v>
      </c>
      <c r="Q674" s="35" t="n">
        <f aca="false">IF(O674="No",ROUND(L674*M674/2,2),0)</f>
        <v>0</v>
      </c>
      <c r="R674" s="35" t="n">
        <f aca="false">Q674</f>
        <v>0</v>
      </c>
      <c r="S674" s="35" t="n">
        <f aca="false">L674+P674+Q674+R674</f>
        <v>0</v>
      </c>
      <c r="T674" s="34" t="str">
        <f aca="false">IF(A674="","",IFERROR(INDEX(Customers!$B$5:$B$204,MATCH(C674,Customers!$A$5:$A$204,0))&amp;"",""))</f>
        <v/>
      </c>
      <c r="U674" s="38" t="str">
        <f aca="false">IF(A674="","",IF(T674&lt;&gt;"","B2B",IF(AND(O674="Yes",SUMIF($A$5:$A$1004,A674,$L$5:$L$1004)+SUMIF($A$5:$A$1004,A674,$P$5:$P$1004)&gt;100000),"B2CL","B2CS")))</f>
        <v/>
      </c>
      <c r="V674" s="17" t="str">
        <f aca="false">IF(A674="","",TEXT(B674,"mmm-yyyy"))</f>
        <v/>
      </c>
    </row>
    <row r="675" customFormat="false" ht="15" hidden="false" customHeight="true" outlineLevel="0" collapsed="false">
      <c r="A675" s="24"/>
      <c r="B675" s="39"/>
      <c r="C675" s="24"/>
      <c r="D675" s="24"/>
      <c r="E675" s="40"/>
      <c r="F675" s="29"/>
      <c r="G675" s="30"/>
      <c r="H675" s="17" t="str">
        <f aca="false">IF(A675="","",A675&amp;"|"&amp;COUNTIF(A$5:A675,A675))</f>
        <v/>
      </c>
      <c r="I675" s="33" t="str">
        <f aca="false">IF(A675="","",IFERROR(INDEX(Items!$B$5:$B$304,MATCH(D675,Items!$A$5:$A$304,0))&amp;"",""))</f>
        <v/>
      </c>
      <c r="J675" s="34" t="str">
        <f aca="false">IF(A675="","",IFERROR(INDEX(Items!$C$5:$C$304,MATCH(D675,Items!$A$5:$A$304,0))&amp;"",""))</f>
        <v/>
      </c>
      <c r="K675" s="35" t="n">
        <f aca="false">IF(A675="",0,IF(ISNUMBER(F675),F675,IFERROR(INDEX(Items!$D$5:$D$304,MATCH(D675,Items!$A$5:$A$304,0)),0)))</f>
        <v>0</v>
      </c>
      <c r="L675" s="35" t="n">
        <f aca="false">ROUND(N(E675)*K675*(1-N(G675)),2)</f>
        <v>0</v>
      </c>
      <c r="M675" s="36" t="n">
        <f aca="false">IF(A675="",0,IFERROR(INDEX(Items!$E$5:$E$304,MATCH(D675,Items!$A$5:$A$304,0)),0))</f>
        <v>0</v>
      </c>
      <c r="N675" s="37" t="str">
        <f aca="false">IF(A675="","",IFERROR(INDEX(Customers!$E$5:$E$204,MATCH(C675,Customers!$A$5:$A$204,0)),"?"))</f>
        <v/>
      </c>
      <c r="O675" s="38" t="str">
        <f aca="false">IF(A675="","",IF(N675=Settings!$B$17,"No","Yes"))</f>
        <v/>
      </c>
      <c r="P675" s="35" t="n">
        <f aca="false">IF(O675="Yes",ROUND(L675*M675,2),0)</f>
        <v>0</v>
      </c>
      <c r="Q675" s="35" t="n">
        <f aca="false">IF(O675="No",ROUND(L675*M675/2,2),0)</f>
        <v>0</v>
      </c>
      <c r="R675" s="35" t="n">
        <f aca="false">Q675</f>
        <v>0</v>
      </c>
      <c r="S675" s="35" t="n">
        <f aca="false">L675+P675+Q675+R675</f>
        <v>0</v>
      </c>
      <c r="T675" s="34" t="str">
        <f aca="false">IF(A675="","",IFERROR(INDEX(Customers!$B$5:$B$204,MATCH(C675,Customers!$A$5:$A$204,0))&amp;"",""))</f>
        <v/>
      </c>
      <c r="U675" s="38" t="str">
        <f aca="false">IF(A675="","",IF(T675&lt;&gt;"","B2B",IF(AND(O675="Yes",SUMIF($A$5:$A$1004,A675,$L$5:$L$1004)+SUMIF($A$5:$A$1004,A675,$P$5:$P$1004)&gt;100000),"B2CL","B2CS")))</f>
        <v/>
      </c>
      <c r="V675" s="17" t="str">
        <f aca="false">IF(A675="","",TEXT(B675,"mmm-yyyy"))</f>
        <v/>
      </c>
    </row>
    <row r="676" customFormat="false" ht="15" hidden="false" customHeight="true" outlineLevel="0" collapsed="false">
      <c r="A676" s="24"/>
      <c r="B676" s="39"/>
      <c r="C676" s="24"/>
      <c r="D676" s="24"/>
      <c r="E676" s="40"/>
      <c r="F676" s="29"/>
      <c r="G676" s="30"/>
      <c r="H676" s="17" t="str">
        <f aca="false">IF(A676="","",A676&amp;"|"&amp;COUNTIF(A$5:A676,A676))</f>
        <v/>
      </c>
      <c r="I676" s="33" t="str">
        <f aca="false">IF(A676="","",IFERROR(INDEX(Items!$B$5:$B$304,MATCH(D676,Items!$A$5:$A$304,0))&amp;"",""))</f>
        <v/>
      </c>
      <c r="J676" s="34" t="str">
        <f aca="false">IF(A676="","",IFERROR(INDEX(Items!$C$5:$C$304,MATCH(D676,Items!$A$5:$A$304,0))&amp;"",""))</f>
        <v/>
      </c>
      <c r="K676" s="35" t="n">
        <f aca="false">IF(A676="",0,IF(ISNUMBER(F676),F676,IFERROR(INDEX(Items!$D$5:$D$304,MATCH(D676,Items!$A$5:$A$304,0)),0)))</f>
        <v>0</v>
      </c>
      <c r="L676" s="35" t="n">
        <f aca="false">ROUND(N(E676)*K676*(1-N(G676)),2)</f>
        <v>0</v>
      </c>
      <c r="M676" s="36" t="n">
        <f aca="false">IF(A676="",0,IFERROR(INDEX(Items!$E$5:$E$304,MATCH(D676,Items!$A$5:$A$304,0)),0))</f>
        <v>0</v>
      </c>
      <c r="N676" s="37" t="str">
        <f aca="false">IF(A676="","",IFERROR(INDEX(Customers!$E$5:$E$204,MATCH(C676,Customers!$A$5:$A$204,0)),"?"))</f>
        <v/>
      </c>
      <c r="O676" s="38" t="str">
        <f aca="false">IF(A676="","",IF(N676=Settings!$B$17,"No","Yes"))</f>
        <v/>
      </c>
      <c r="P676" s="35" t="n">
        <f aca="false">IF(O676="Yes",ROUND(L676*M676,2),0)</f>
        <v>0</v>
      </c>
      <c r="Q676" s="35" t="n">
        <f aca="false">IF(O676="No",ROUND(L676*M676/2,2),0)</f>
        <v>0</v>
      </c>
      <c r="R676" s="35" t="n">
        <f aca="false">Q676</f>
        <v>0</v>
      </c>
      <c r="S676" s="35" t="n">
        <f aca="false">L676+P676+Q676+R676</f>
        <v>0</v>
      </c>
      <c r="T676" s="34" t="str">
        <f aca="false">IF(A676="","",IFERROR(INDEX(Customers!$B$5:$B$204,MATCH(C676,Customers!$A$5:$A$204,0))&amp;"",""))</f>
        <v/>
      </c>
      <c r="U676" s="38" t="str">
        <f aca="false">IF(A676="","",IF(T676&lt;&gt;"","B2B",IF(AND(O676="Yes",SUMIF($A$5:$A$1004,A676,$L$5:$L$1004)+SUMIF($A$5:$A$1004,A676,$P$5:$P$1004)&gt;100000),"B2CL","B2CS")))</f>
        <v/>
      </c>
      <c r="V676" s="17" t="str">
        <f aca="false">IF(A676="","",TEXT(B676,"mmm-yyyy"))</f>
        <v/>
      </c>
    </row>
    <row r="677" customFormat="false" ht="15" hidden="false" customHeight="true" outlineLevel="0" collapsed="false">
      <c r="A677" s="24"/>
      <c r="B677" s="39"/>
      <c r="C677" s="24"/>
      <c r="D677" s="24"/>
      <c r="E677" s="40"/>
      <c r="F677" s="29"/>
      <c r="G677" s="30"/>
      <c r="H677" s="17" t="str">
        <f aca="false">IF(A677="","",A677&amp;"|"&amp;COUNTIF(A$5:A677,A677))</f>
        <v/>
      </c>
      <c r="I677" s="33" t="str">
        <f aca="false">IF(A677="","",IFERROR(INDEX(Items!$B$5:$B$304,MATCH(D677,Items!$A$5:$A$304,0))&amp;"",""))</f>
        <v/>
      </c>
      <c r="J677" s="34" t="str">
        <f aca="false">IF(A677="","",IFERROR(INDEX(Items!$C$5:$C$304,MATCH(D677,Items!$A$5:$A$304,0))&amp;"",""))</f>
        <v/>
      </c>
      <c r="K677" s="35" t="n">
        <f aca="false">IF(A677="",0,IF(ISNUMBER(F677),F677,IFERROR(INDEX(Items!$D$5:$D$304,MATCH(D677,Items!$A$5:$A$304,0)),0)))</f>
        <v>0</v>
      </c>
      <c r="L677" s="35" t="n">
        <f aca="false">ROUND(N(E677)*K677*(1-N(G677)),2)</f>
        <v>0</v>
      </c>
      <c r="M677" s="36" t="n">
        <f aca="false">IF(A677="",0,IFERROR(INDEX(Items!$E$5:$E$304,MATCH(D677,Items!$A$5:$A$304,0)),0))</f>
        <v>0</v>
      </c>
      <c r="N677" s="37" t="str">
        <f aca="false">IF(A677="","",IFERROR(INDEX(Customers!$E$5:$E$204,MATCH(C677,Customers!$A$5:$A$204,0)),"?"))</f>
        <v/>
      </c>
      <c r="O677" s="38" t="str">
        <f aca="false">IF(A677="","",IF(N677=Settings!$B$17,"No","Yes"))</f>
        <v/>
      </c>
      <c r="P677" s="35" t="n">
        <f aca="false">IF(O677="Yes",ROUND(L677*M677,2),0)</f>
        <v>0</v>
      </c>
      <c r="Q677" s="35" t="n">
        <f aca="false">IF(O677="No",ROUND(L677*M677/2,2),0)</f>
        <v>0</v>
      </c>
      <c r="R677" s="35" t="n">
        <f aca="false">Q677</f>
        <v>0</v>
      </c>
      <c r="S677" s="35" t="n">
        <f aca="false">L677+P677+Q677+R677</f>
        <v>0</v>
      </c>
      <c r="T677" s="34" t="str">
        <f aca="false">IF(A677="","",IFERROR(INDEX(Customers!$B$5:$B$204,MATCH(C677,Customers!$A$5:$A$204,0))&amp;"",""))</f>
        <v/>
      </c>
      <c r="U677" s="38" t="str">
        <f aca="false">IF(A677="","",IF(T677&lt;&gt;"","B2B",IF(AND(O677="Yes",SUMIF($A$5:$A$1004,A677,$L$5:$L$1004)+SUMIF($A$5:$A$1004,A677,$P$5:$P$1004)&gt;100000),"B2CL","B2CS")))</f>
        <v/>
      </c>
      <c r="V677" s="17" t="str">
        <f aca="false">IF(A677="","",TEXT(B677,"mmm-yyyy"))</f>
        <v/>
      </c>
    </row>
    <row r="678" customFormat="false" ht="15" hidden="false" customHeight="true" outlineLevel="0" collapsed="false">
      <c r="A678" s="24"/>
      <c r="B678" s="39"/>
      <c r="C678" s="24"/>
      <c r="D678" s="24"/>
      <c r="E678" s="40"/>
      <c r="F678" s="29"/>
      <c r="G678" s="30"/>
      <c r="H678" s="17" t="str">
        <f aca="false">IF(A678="","",A678&amp;"|"&amp;COUNTIF(A$5:A678,A678))</f>
        <v/>
      </c>
      <c r="I678" s="33" t="str">
        <f aca="false">IF(A678="","",IFERROR(INDEX(Items!$B$5:$B$304,MATCH(D678,Items!$A$5:$A$304,0))&amp;"",""))</f>
        <v/>
      </c>
      <c r="J678" s="34" t="str">
        <f aca="false">IF(A678="","",IFERROR(INDEX(Items!$C$5:$C$304,MATCH(D678,Items!$A$5:$A$304,0))&amp;"",""))</f>
        <v/>
      </c>
      <c r="K678" s="35" t="n">
        <f aca="false">IF(A678="",0,IF(ISNUMBER(F678),F678,IFERROR(INDEX(Items!$D$5:$D$304,MATCH(D678,Items!$A$5:$A$304,0)),0)))</f>
        <v>0</v>
      </c>
      <c r="L678" s="35" t="n">
        <f aca="false">ROUND(N(E678)*K678*(1-N(G678)),2)</f>
        <v>0</v>
      </c>
      <c r="M678" s="36" t="n">
        <f aca="false">IF(A678="",0,IFERROR(INDEX(Items!$E$5:$E$304,MATCH(D678,Items!$A$5:$A$304,0)),0))</f>
        <v>0</v>
      </c>
      <c r="N678" s="37" t="str">
        <f aca="false">IF(A678="","",IFERROR(INDEX(Customers!$E$5:$E$204,MATCH(C678,Customers!$A$5:$A$204,0)),"?"))</f>
        <v/>
      </c>
      <c r="O678" s="38" t="str">
        <f aca="false">IF(A678="","",IF(N678=Settings!$B$17,"No","Yes"))</f>
        <v/>
      </c>
      <c r="P678" s="35" t="n">
        <f aca="false">IF(O678="Yes",ROUND(L678*M678,2),0)</f>
        <v>0</v>
      </c>
      <c r="Q678" s="35" t="n">
        <f aca="false">IF(O678="No",ROUND(L678*M678/2,2),0)</f>
        <v>0</v>
      </c>
      <c r="R678" s="35" t="n">
        <f aca="false">Q678</f>
        <v>0</v>
      </c>
      <c r="S678" s="35" t="n">
        <f aca="false">L678+P678+Q678+R678</f>
        <v>0</v>
      </c>
      <c r="T678" s="34" t="str">
        <f aca="false">IF(A678="","",IFERROR(INDEX(Customers!$B$5:$B$204,MATCH(C678,Customers!$A$5:$A$204,0))&amp;"",""))</f>
        <v/>
      </c>
      <c r="U678" s="38" t="str">
        <f aca="false">IF(A678="","",IF(T678&lt;&gt;"","B2B",IF(AND(O678="Yes",SUMIF($A$5:$A$1004,A678,$L$5:$L$1004)+SUMIF($A$5:$A$1004,A678,$P$5:$P$1004)&gt;100000),"B2CL","B2CS")))</f>
        <v/>
      </c>
      <c r="V678" s="17" t="str">
        <f aca="false">IF(A678="","",TEXT(B678,"mmm-yyyy"))</f>
        <v/>
      </c>
    </row>
    <row r="679" customFormat="false" ht="15" hidden="false" customHeight="true" outlineLevel="0" collapsed="false">
      <c r="A679" s="24"/>
      <c r="B679" s="39"/>
      <c r="C679" s="24"/>
      <c r="D679" s="24"/>
      <c r="E679" s="40"/>
      <c r="F679" s="29"/>
      <c r="G679" s="30"/>
      <c r="H679" s="17" t="str">
        <f aca="false">IF(A679="","",A679&amp;"|"&amp;COUNTIF(A$5:A679,A679))</f>
        <v/>
      </c>
      <c r="I679" s="33" t="str">
        <f aca="false">IF(A679="","",IFERROR(INDEX(Items!$B$5:$B$304,MATCH(D679,Items!$A$5:$A$304,0))&amp;"",""))</f>
        <v/>
      </c>
      <c r="J679" s="34" t="str">
        <f aca="false">IF(A679="","",IFERROR(INDEX(Items!$C$5:$C$304,MATCH(D679,Items!$A$5:$A$304,0))&amp;"",""))</f>
        <v/>
      </c>
      <c r="K679" s="35" t="n">
        <f aca="false">IF(A679="",0,IF(ISNUMBER(F679),F679,IFERROR(INDEX(Items!$D$5:$D$304,MATCH(D679,Items!$A$5:$A$304,0)),0)))</f>
        <v>0</v>
      </c>
      <c r="L679" s="35" t="n">
        <f aca="false">ROUND(N(E679)*K679*(1-N(G679)),2)</f>
        <v>0</v>
      </c>
      <c r="M679" s="36" t="n">
        <f aca="false">IF(A679="",0,IFERROR(INDEX(Items!$E$5:$E$304,MATCH(D679,Items!$A$5:$A$304,0)),0))</f>
        <v>0</v>
      </c>
      <c r="N679" s="37" t="str">
        <f aca="false">IF(A679="","",IFERROR(INDEX(Customers!$E$5:$E$204,MATCH(C679,Customers!$A$5:$A$204,0)),"?"))</f>
        <v/>
      </c>
      <c r="O679" s="38" t="str">
        <f aca="false">IF(A679="","",IF(N679=Settings!$B$17,"No","Yes"))</f>
        <v/>
      </c>
      <c r="P679" s="35" t="n">
        <f aca="false">IF(O679="Yes",ROUND(L679*M679,2),0)</f>
        <v>0</v>
      </c>
      <c r="Q679" s="35" t="n">
        <f aca="false">IF(O679="No",ROUND(L679*M679/2,2),0)</f>
        <v>0</v>
      </c>
      <c r="R679" s="35" t="n">
        <f aca="false">Q679</f>
        <v>0</v>
      </c>
      <c r="S679" s="35" t="n">
        <f aca="false">L679+P679+Q679+R679</f>
        <v>0</v>
      </c>
      <c r="T679" s="34" t="str">
        <f aca="false">IF(A679="","",IFERROR(INDEX(Customers!$B$5:$B$204,MATCH(C679,Customers!$A$5:$A$204,0))&amp;"",""))</f>
        <v/>
      </c>
      <c r="U679" s="38" t="str">
        <f aca="false">IF(A679="","",IF(T679&lt;&gt;"","B2B",IF(AND(O679="Yes",SUMIF($A$5:$A$1004,A679,$L$5:$L$1004)+SUMIF($A$5:$A$1004,A679,$P$5:$P$1004)&gt;100000),"B2CL","B2CS")))</f>
        <v/>
      </c>
      <c r="V679" s="17" t="str">
        <f aca="false">IF(A679="","",TEXT(B679,"mmm-yyyy"))</f>
        <v/>
      </c>
    </row>
    <row r="680" customFormat="false" ht="15" hidden="false" customHeight="true" outlineLevel="0" collapsed="false">
      <c r="A680" s="24"/>
      <c r="B680" s="39"/>
      <c r="C680" s="24"/>
      <c r="D680" s="24"/>
      <c r="E680" s="40"/>
      <c r="F680" s="29"/>
      <c r="G680" s="30"/>
      <c r="H680" s="17" t="str">
        <f aca="false">IF(A680="","",A680&amp;"|"&amp;COUNTIF(A$5:A680,A680))</f>
        <v/>
      </c>
      <c r="I680" s="33" t="str">
        <f aca="false">IF(A680="","",IFERROR(INDEX(Items!$B$5:$B$304,MATCH(D680,Items!$A$5:$A$304,0))&amp;"",""))</f>
        <v/>
      </c>
      <c r="J680" s="34" t="str">
        <f aca="false">IF(A680="","",IFERROR(INDEX(Items!$C$5:$C$304,MATCH(D680,Items!$A$5:$A$304,0))&amp;"",""))</f>
        <v/>
      </c>
      <c r="K680" s="35" t="n">
        <f aca="false">IF(A680="",0,IF(ISNUMBER(F680),F680,IFERROR(INDEX(Items!$D$5:$D$304,MATCH(D680,Items!$A$5:$A$304,0)),0)))</f>
        <v>0</v>
      </c>
      <c r="L680" s="35" t="n">
        <f aca="false">ROUND(N(E680)*K680*(1-N(G680)),2)</f>
        <v>0</v>
      </c>
      <c r="M680" s="36" t="n">
        <f aca="false">IF(A680="",0,IFERROR(INDEX(Items!$E$5:$E$304,MATCH(D680,Items!$A$5:$A$304,0)),0))</f>
        <v>0</v>
      </c>
      <c r="N680" s="37" t="str">
        <f aca="false">IF(A680="","",IFERROR(INDEX(Customers!$E$5:$E$204,MATCH(C680,Customers!$A$5:$A$204,0)),"?"))</f>
        <v/>
      </c>
      <c r="O680" s="38" t="str">
        <f aca="false">IF(A680="","",IF(N680=Settings!$B$17,"No","Yes"))</f>
        <v/>
      </c>
      <c r="P680" s="35" t="n">
        <f aca="false">IF(O680="Yes",ROUND(L680*M680,2),0)</f>
        <v>0</v>
      </c>
      <c r="Q680" s="35" t="n">
        <f aca="false">IF(O680="No",ROUND(L680*M680/2,2),0)</f>
        <v>0</v>
      </c>
      <c r="R680" s="35" t="n">
        <f aca="false">Q680</f>
        <v>0</v>
      </c>
      <c r="S680" s="35" t="n">
        <f aca="false">L680+P680+Q680+R680</f>
        <v>0</v>
      </c>
      <c r="T680" s="34" t="str">
        <f aca="false">IF(A680="","",IFERROR(INDEX(Customers!$B$5:$B$204,MATCH(C680,Customers!$A$5:$A$204,0))&amp;"",""))</f>
        <v/>
      </c>
      <c r="U680" s="38" t="str">
        <f aca="false">IF(A680="","",IF(T680&lt;&gt;"","B2B",IF(AND(O680="Yes",SUMIF($A$5:$A$1004,A680,$L$5:$L$1004)+SUMIF($A$5:$A$1004,A680,$P$5:$P$1004)&gt;100000),"B2CL","B2CS")))</f>
        <v/>
      </c>
      <c r="V680" s="17" t="str">
        <f aca="false">IF(A680="","",TEXT(B680,"mmm-yyyy"))</f>
        <v/>
      </c>
    </row>
    <row r="681" customFormat="false" ht="15" hidden="false" customHeight="true" outlineLevel="0" collapsed="false">
      <c r="A681" s="24"/>
      <c r="B681" s="39"/>
      <c r="C681" s="24"/>
      <c r="D681" s="24"/>
      <c r="E681" s="40"/>
      <c r="F681" s="29"/>
      <c r="G681" s="30"/>
      <c r="H681" s="17" t="str">
        <f aca="false">IF(A681="","",A681&amp;"|"&amp;COUNTIF(A$5:A681,A681))</f>
        <v/>
      </c>
      <c r="I681" s="33" t="str">
        <f aca="false">IF(A681="","",IFERROR(INDEX(Items!$B$5:$B$304,MATCH(D681,Items!$A$5:$A$304,0))&amp;"",""))</f>
        <v/>
      </c>
      <c r="J681" s="34" t="str">
        <f aca="false">IF(A681="","",IFERROR(INDEX(Items!$C$5:$C$304,MATCH(D681,Items!$A$5:$A$304,0))&amp;"",""))</f>
        <v/>
      </c>
      <c r="K681" s="35" t="n">
        <f aca="false">IF(A681="",0,IF(ISNUMBER(F681),F681,IFERROR(INDEX(Items!$D$5:$D$304,MATCH(D681,Items!$A$5:$A$304,0)),0)))</f>
        <v>0</v>
      </c>
      <c r="L681" s="35" t="n">
        <f aca="false">ROUND(N(E681)*K681*(1-N(G681)),2)</f>
        <v>0</v>
      </c>
      <c r="M681" s="36" t="n">
        <f aca="false">IF(A681="",0,IFERROR(INDEX(Items!$E$5:$E$304,MATCH(D681,Items!$A$5:$A$304,0)),0))</f>
        <v>0</v>
      </c>
      <c r="N681" s="37" t="str">
        <f aca="false">IF(A681="","",IFERROR(INDEX(Customers!$E$5:$E$204,MATCH(C681,Customers!$A$5:$A$204,0)),"?"))</f>
        <v/>
      </c>
      <c r="O681" s="38" t="str">
        <f aca="false">IF(A681="","",IF(N681=Settings!$B$17,"No","Yes"))</f>
        <v/>
      </c>
      <c r="P681" s="35" t="n">
        <f aca="false">IF(O681="Yes",ROUND(L681*M681,2),0)</f>
        <v>0</v>
      </c>
      <c r="Q681" s="35" t="n">
        <f aca="false">IF(O681="No",ROUND(L681*M681/2,2),0)</f>
        <v>0</v>
      </c>
      <c r="R681" s="35" t="n">
        <f aca="false">Q681</f>
        <v>0</v>
      </c>
      <c r="S681" s="35" t="n">
        <f aca="false">L681+P681+Q681+R681</f>
        <v>0</v>
      </c>
      <c r="T681" s="34" t="str">
        <f aca="false">IF(A681="","",IFERROR(INDEX(Customers!$B$5:$B$204,MATCH(C681,Customers!$A$5:$A$204,0))&amp;"",""))</f>
        <v/>
      </c>
      <c r="U681" s="38" t="str">
        <f aca="false">IF(A681="","",IF(T681&lt;&gt;"","B2B",IF(AND(O681="Yes",SUMIF($A$5:$A$1004,A681,$L$5:$L$1004)+SUMIF($A$5:$A$1004,A681,$P$5:$P$1004)&gt;100000),"B2CL","B2CS")))</f>
        <v/>
      </c>
      <c r="V681" s="17" t="str">
        <f aca="false">IF(A681="","",TEXT(B681,"mmm-yyyy"))</f>
        <v/>
      </c>
    </row>
    <row r="682" customFormat="false" ht="15" hidden="false" customHeight="true" outlineLevel="0" collapsed="false">
      <c r="A682" s="24"/>
      <c r="B682" s="39"/>
      <c r="C682" s="24"/>
      <c r="D682" s="24"/>
      <c r="E682" s="40"/>
      <c r="F682" s="29"/>
      <c r="G682" s="30"/>
      <c r="H682" s="17" t="str">
        <f aca="false">IF(A682="","",A682&amp;"|"&amp;COUNTIF(A$5:A682,A682))</f>
        <v/>
      </c>
      <c r="I682" s="33" t="str">
        <f aca="false">IF(A682="","",IFERROR(INDEX(Items!$B$5:$B$304,MATCH(D682,Items!$A$5:$A$304,0))&amp;"",""))</f>
        <v/>
      </c>
      <c r="J682" s="34" t="str">
        <f aca="false">IF(A682="","",IFERROR(INDEX(Items!$C$5:$C$304,MATCH(D682,Items!$A$5:$A$304,0))&amp;"",""))</f>
        <v/>
      </c>
      <c r="K682" s="35" t="n">
        <f aca="false">IF(A682="",0,IF(ISNUMBER(F682),F682,IFERROR(INDEX(Items!$D$5:$D$304,MATCH(D682,Items!$A$5:$A$304,0)),0)))</f>
        <v>0</v>
      </c>
      <c r="L682" s="35" t="n">
        <f aca="false">ROUND(N(E682)*K682*(1-N(G682)),2)</f>
        <v>0</v>
      </c>
      <c r="M682" s="36" t="n">
        <f aca="false">IF(A682="",0,IFERROR(INDEX(Items!$E$5:$E$304,MATCH(D682,Items!$A$5:$A$304,0)),0))</f>
        <v>0</v>
      </c>
      <c r="N682" s="37" t="str">
        <f aca="false">IF(A682="","",IFERROR(INDEX(Customers!$E$5:$E$204,MATCH(C682,Customers!$A$5:$A$204,0)),"?"))</f>
        <v/>
      </c>
      <c r="O682" s="38" t="str">
        <f aca="false">IF(A682="","",IF(N682=Settings!$B$17,"No","Yes"))</f>
        <v/>
      </c>
      <c r="P682" s="35" t="n">
        <f aca="false">IF(O682="Yes",ROUND(L682*M682,2),0)</f>
        <v>0</v>
      </c>
      <c r="Q682" s="35" t="n">
        <f aca="false">IF(O682="No",ROUND(L682*M682/2,2),0)</f>
        <v>0</v>
      </c>
      <c r="R682" s="35" t="n">
        <f aca="false">Q682</f>
        <v>0</v>
      </c>
      <c r="S682" s="35" t="n">
        <f aca="false">L682+P682+Q682+R682</f>
        <v>0</v>
      </c>
      <c r="T682" s="34" t="str">
        <f aca="false">IF(A682="","",IFERROR(INDEX(Customers!$B$5:$B$204,MATCH(C682,Customers!$A$5:$A$204,0))&amp;"",""))</f>
        <v/>
      </c>
      <c r="U682" s="38" t="str">
        <f aca="false">IF(A682="","",IF(T682&lt;&gt;"","B2B",IF(AND(O682="Yes",SUMIF($A$5:$A$1004,A682,$L$5:$L$1004)+SUMIF($A$5:$A$1004,A682,$P$5:$P$1004)&gt;100000),"B2CL","B2CS")))</f>
        <v/>
      </c>
      <c r="V682" s="17" t="str">
        <f aca="false">IF(A682="","",TEXT(B682,"mmm-yyyy"))</f>
        <v/>
      </c>
    </row>
    <row r="683" customFormat="false" ht="15" hidden="false" customHeight="true" outlineLevel="0" collapsed="false">
      <c r="A683" s="24"/>
      <c r="B683" s="39"/>
      <c r="C683" s="24"/>
      <c r="D683" s="24"/>
      <c r="E683" s="40"/>
      <c r="F683" s="29"/>
      <c r="G683" s="30"/>
      <c r="H683" s="17" t="str">
        <f aca="false">IF(A683="","",A683&amp;"|"&amp;COUNTIF(A$5:A683,A683))</f>
        <v/>
      </c>
      <c r="I683" s="33" t="str">
        <f aca="false">IF(A683="","",IFERROR(INDEX(Items!$B$5:$B$304,MATCH(D683,Items!$A$5:$A$304,0))&amp;"",""))</f>
        <v/>
      </c>
      <c r="J683" s="34" t="str">
        <f aca="false">IF(A683="","",IFERROR(INDEX(Items!$C$5:$C$304,MATCH(D683,Items!$A$5:$A$304,0))&amp;"",""))</f>
        <v/>
      </c>
      <c r="K683" s="35" t="n">
        <f aca="false">IF(A683="",0,IF(ISNUMBER(F683),F683,IFERROR(INDEX(Items!$D$5:$D$304,MATCH(D683,Items!$A$5:$A$304,0)),0)))</f>
        <v>0</v>
      </c>
      <c r="L683" s="35" t="n">
        <f aca="false">ROUND(N(E683)*K683*(1-N(G683)),2)</f>
        <v>0</v>
      </c>
      <c r="M683" s="36" t="n">
        <f aca="false">IF(A683="",0,IFERROR(INDEX(Items!$E$5:$E$304,MATCH(D683,Items!$A$5:$A$304,0)),0))</f>
        <v>0</v>
      </c>
      <c r="N683" s="37" t="str">
        <f aca="false">IF(A683="","",IFERROR(INDEX(Customers!$E$5:$E$204,MATCH(C683,Customers!$A$5:$A$204,0)),"?"))</f>
        <v/>
      </c>
      <c r="O683" s="38" t="str">
        <f aca="false">IF(A683="","",IF(N683=Settings!$B$17,"No","Yes"))</f>
        <v/>
      </c>
      <c r="P683" s="35" t="n">
        <f aca="false">IF(O683="Yes",ROUND(L683*M683,2),0)</f>
        <v>0</v>
      </c>
      <c r="Q683" s="35" t="n">
        <f aca="false">IF(O683="No",ROUND(L683*M683/2,2),0)</f>
        <v>0</v>
      </c>
      <c r="R683" s="35" t="n">
        <f aca="false">Q683</f>
        <v>0</v>
      </c>
      <c r="S683" s="35" t="n">
        <f aca="false">L683+P683+Q683+R683</f>
        <v>0</v>
      </c>
      <c r="T683" s="34" t="str">
        <f aca="false">IF(A683="","",IFERROR(INDEX(Customers!$B$5:$B$204,MATCH(C683,Customers!$A$5:$A$204,0))&amp;"",""))</f>
        <v/>
      </c>
      <c r="U683" s="38" t="str">
        <f aca="false">IF(A683="","",IF(T683&lt;&gt;"","B2B",IF(AND(O683="Yes",SUMIF($A$5:$A$1004,A683,$L$5:$L$1004)+SUMIF($A$5:$A$1004,A683,$P$5:$P$1004)&gt;100000),"B2CL","B2CS")))</f>
        <v/>
      </c>
      <c r="V683" s="17" t="str">
        <f aca="false">IF(A683="","",TEXT(B683,"mmm-yyyy"))</f>
        <v/>
      </c>
    </row>
    <row r="684" customFormat="false" ht="15" hidden="false" customHeight="true" outlineLevel="0" collapsed="false">
      <c r="A684" s="24"/>
      <c r="B684" s="39"/>
      <c r="C684" s="24"/>
      <c r="D684" s="24"/>
      <c r="E684" s="40"/>
      <c r="F684" s="29"/>
      <c r="G684" s="30"/>
      <c r="H684" s="17" t="str">
        <f aca="false">IF(A684="","",A684&amp;"|"&amp;COUNTIF(A$5:A684,A684))</f>
        <v/>
      </c>
      <c r="I684" s="33" t="str">
        <f aca="false">IF(A684="","",IFERROR(INDEX(Items!$B$5:$B$304,MATCH(D684,Items!$A$5:$A$304,0))&amp;"",""))</f>
        <v/>
      </c>
      <c r="J684" s="34" t="str">
        <f aca="false">IF(A684="","",IFERROR(INDEX(Items!$C$5:$C$304,MATCH(D684,Items!$A$5:$A$304,0))&amp;"",""))</f>
        <v/>
      </c>
      <c r="K684" s="35" t="n">
        <f aca="false">IF(A684="",0,IF(ISNUMBER(F684),F684,IFERROR(INDEX(Items!$D$5:$D$304,MATCH(D684,Items!$A$5:$A$304,0)),0)))</f>
        <v>0</v>
      </c>
      <c r="L684" s="35" t="n">
        <f aca="false">ROUND(N(E684)*K684*(1-N(G684)),2)</f>
        <v>0</v>
      </c>
      <c r="M684" s="36" t="n">
        <f aca="false">IF(A684="",0,IFERROR(INDEX(Items!$E$5:$E$304,MATCH(D684,Items!$A$5:$A$304,0)),0))</f>
        <v>0</v>
      </c>
      <c r="N684" s="37" t="str">
        <f aca="false">IF(A684="","",IFERROR(INDEX(Customers!$E$5:$E$204,MATCH(C684,Customers!$A$5:$A$204,0)),"?"))</f>
        <v/>
      </c>
      <c r="O684" s="38" t="str">
        <f aca="false">IF(A684="","",IF(N684=Settings!$B$17,"No","Yes"))</f>
        <v/>
      </c>
      <c r="P684" s="35" t="n">
        <f aca="false">IF(O684="Yes",ROUND(L684*M684,2),0)</f>
        <v>0</v>
      </c>
      <c r="Q684" s="35" t="n">
        <f aca="false">IF(O684="No",ROUND(L684*M684/2,2),0)</f>
        <v>0</v>
      </c>
      <c r="R684" s="35" t="n">
        <f aca="false">Q684</f>
        <v>0</v>
      </c>
      <c r="S684" s="35" t="n">
        <f aca="false">L684+P684+Q684+R684</f>
        <v>0</v>
      </c>
      <c r="T684" s="34" t="str">
        <f aca="false">IF(A684="","",IFERROR(INDEX(Customers!$B$5:$B$204,MATCH(C684,Customers!$A$5:$A$204,0))&amp;"",""))</f>
        <v/>
      </c>
      <c r="U684" s="38" t="str">
        <f aca="false">IF(A684="","",IF(T684&lt;&gt;"","B2B",IF(AND(O684="Yes",SUMIF($A$5:$A$1004,A684,$L$5:$L$1004)+SUMIF($A$5:$A$1004,A684,$P$5:$P$1004)&gt;100000),"B2CL","B2CS")))</f>
        <v/>
      </c>
      <c r="V684" s="17" t="str">
        <f aca="false">IF(A684="","",TEXT(B684,"mmm-yyyy"))</f>
        <v/>
      </c>
    </row>
    <row r="685" customFormat="false" ht="15" hidden="false" customHeight="true" outlineLevel="0" collapsed="false">
      <c r="A685" s="24"/>
      <c r="B685" s="39"/>
      <c r="C685" s="24"/>
      <c r="D685" s="24"/>
      <c r="E685" s="40"/>
      <c r="F685" s="29"/>
      <c r="G685" s="30"/>
      <c r="H685" s="17" t="str">
        <f aca="false">IF(A685="","",A685&amp;"|"&amp;COUNTIF(A$5:A685,A685))</f>
        <v/>
      </c>
      <c r="I685" s="33" t="str">
        <f aca="false">IF(A685="","",IFERROR(INDEX(Items!$B$5:$B$304,MATCH(D685,Items!$A$5:$A$304,0))&amp;"",""))</f>
        <v/>
      </c>
      <c r="J685" s="34" t="str">
        <f aca="false">IF(A685="","",IFERROR(INDEX(Items!$C$5:$C$304,MATCH(D685,Items!$A$5:$A$304,0))&amp;"",""))</f>
        <v/>
      </c>
      <c r="K685" s="35" t="n">
        <f aca="false">IF(A685="",0,IF(ISNUMBER(F685),F685,IFERROR(INDEX(Items!$D$5:$D$304,MATCH(D685,Items!$A$5:$A$304,0)),0)))</f>
        <v>0</v>
      </c>
      <c r="L685" s="35" t="n">
        <f aca="false">ROUND(N(E685)*K685*(1-N(G685)),2)</f>
        <v>0</v>
      </c>
      <c r="M685" s="36" t="n">
        <f aca="false">IF(A685="",0,IFERROR(INDEX(Items!$E$5:$E$304,MATCH(D685,Items!$A$5:$A$304,0)),0))</f>
        <v>0</v>
      </c>
      <c r="N685" s="37" t="str">
        <f aca="false">IF(A685="","",IFERROR(INDEX(Customers!$E$5:$E$204,MATCH(C685,Customers!$A$5:$A$204,0)),"?"))</f>
        <v/>
      </c>
      <c r="O685" s="38" t="str">
        <f aca="false">IF(A685="","",IF(N685=Settings!$B$17,"No","Yes"))</f>
        <v/>
      </c>
      <c r="P685" s="35" t="n">
        <f aca="false">IF(O685="Yes",ROUND(L685*M685,2),0)</f>
        <v>0</v>
      </c>
      <c r="Q685" s="35" t="n">
        <f aca="false">IF(O685="No",ROUND(L685*M685/2,2),0)</f>
        <v>0</v>
      </c>
      <c r="R685" s="35" t="n">
        <f aca="false">Q685</f>
        <v>0</v>
      </c>
      <c r="S685" s="35" t="n">
        <f aca="false">L685+P685+Q685+R685</f>
        <v>0</v>
      </c>
      <c r="T685" s="34" t="str">
        <f aca="false">IF(A685="","",IFERROR(INDEX(Customers!$B$5:$B$204,MATCH(C685,Customers!$A$5:$A$204,0))&amp;"",""))</f>
        <v/>
      </c>
      <c r="U685" s="38" t="str">
        <f aca="false">IF(A685="","",IF(T685&lt;&gt;"","B2B",IF(AND(O685="Yes",SUMIF($A$5:$A$1004,A685,$L$5:$L$1004)+SUMIF($A$5:$A$1004,A685,$P$5:$P$1004)&gt;100000),"B2CL","B2CS")))</f>
        <v/>
      </c>
      <c r="V685" s="17" t="str">
        <f aca="false">IF(A685="","",TEXT(B685,"mmm-yyyy"))</f>
        <v/>
      </c>
    </row>
    <row r="686" customFormat="false" ht="15" hidden="false" customHeight="true" outlineLevel="0" collapsed="false">
      <c r="A686" s="24"/>
      <c r="B686" s="39"/>
      <c r="C686" s="24"/>
      <c r="D686" s="24"/>
      <c r="E686" s="40"/>
      <c r="F686" s="29"/>
      <c r="G686" s="30"/>
      <c r="H686" s="17" t="str">
        <f aca="false">IF(A686="","",A686&amp;"|"&amp;COUNTIF(A$5:A686,A686))</f>
        <v/>
      </c>
      <c r="I686" s="33" t="str">
        <f aca="false">IF(A686="","",IFERROR(INDEX(Items!$B$5:$B$304,MATCH(D686,Items!$A$5:$A$304,0))&amp;"",""))</f>
        <v/>
      </c>
      <c r="J686" s="34" t="str">
        <f aca="false">IF(A686="","",IFERROR(INDEX(Items!$C$5:$C$304,MATCH(D686,Items!$A$5:$A$304,0))&amp;"",""))</f>
        <v/>
      </c>
      <c r="K686" s="35" t="n">
        <f aca="false">IF(A686="",0,IF(ISNUMBER(F686),F686,IFERROR(INDEX(Items!$D$5:$D$304,MATCH(D686,Items!$A$5:$A$304,0)),0)))</f>
        <v>0</v>
      </c>
      <c r="L686" s="35" t="n">
        <f aca="false">ROUND(N(E686)*K686*(1-N(G686)),2)</f>
        <v>0</v>
      </c>
      <c r="M686" s="36" t="n">
        <f aca="false">IF(A686="",0,IFERROR(INDEX(Items!$E$5:$E$304,MATCH(D686,Items!$A$5:$A$304,0)),0))</f>
        <v>0</v>
      </c>
      <c r="N686" s="37" t="str">
        <f aca="false">IF(A686="","",IFERROR(INDEX(Customers!$E$5:$E$204,MATCH(C686,Customers!$A$5:$A$204,0)),"?"))</f>
        <v/>
      </c>
      <c r="O686" s="38" t="str">
        <f aca="false">IF(A686="","",IF(N686=Settings!$B$17,"No","Yes"))</f>
        <v/>
      </c>
      <c r="P686" s="35" t="n">
        <f aca="false">IF(O686="Yes",ROUND(L686*M686,2),0)</f>
        <v>0</v>
      </c>
      <c r="Q686" s="35" t="n">
        <f aca="false">IF(O686="No",ROUND(L686*M686/2,2),0)</f>
        <v>0</v>
      </c>
      <c r="R686" s="35" t="n">
        <f aca="false">Q686</f>
        <v>0</v>
      </c>
      <c r="S686" s="35" t="n">
        <f aca="false">L686+P686+Q686+R686</f>
        <v>0</v>
      </c>
      <c r="T686" s="34" t="str">
        <f aca="false">IF(A686="","",IFERROR(INDEX(Customers!$B$5:$B$204,MATCH(C686,Customers!$A$5:$A$204,0))&amp;"",""))</f>
        <v/>
      </c>
      <c r="U686" s="38" t="str">
        <f aca="false">IF(A686="","",IF(T686&lt;&gt;"","B2B",IF(AND(O686="Yes",SUMIF($A$5:$A$1004,A686,$L$5:$L$1004)+SUMIF($A$5:$A$1004,A686,$P$5:$P$1004)&gt;100000),"B2CL","B2CS")))</f>
        <v/>
      </c>
      <c r="V686" s="17" t="str">
        <f aca="false">IF(A686="","",TEXT(B686,"mmm-yyyy"))</f>
        <v/>
      </c>
    </row>
    <row r="687" customFormat="false" ht="15" hidden="false" customHeight="true" outlineLevel="0" collapsed="false">
      <c r="A687" s="24"/>
      <c r="B687" s="39"/>
      <c r="C687" s="24"/>
      <c r="D687" s="24"/>
      <c r="E687" s="40"/>
      <c r="F687" s="29"/>
      <c r="G687" s="30"/>
      <c r="H687" s="17" t="str">
        <f aca="false">IF(A687="","",A687&amp;"|"&amp;COUNTIF(A$5:A687,A687))</f>
        <v/>
      </c>
      <c r="I687" s="33" t="str">
        <f aca="false">IF(A687="","",IFERROR(INDEX(Items!$B$5:$B$304,MATCH(D687,Items!$A$5:$A$304,0))&amp;"",""))</f>
        <v/>
      </c>
      <c r="J687" s="34" t="str">
        <f aca="false">IF(A687="","",IFERROR(INDEX(Items!$C$5:$C$304,MATCH(D687,Items!$A$5:$A$304,0))&amp;"",""))</f>
        <v/>
      </c>
      <c r="K687" s="35" t="n">
        <f aca="false">IF(A687="",0,IF(ISNUMBER(F687),F687,IFERROR(INDEX(Items!$D$5:$D$304,MATCH(D687,Items!$A$5:$A$304,0)),0)))</f>
        <v>0</v>
      </c>
      <c r="L687" s="35" t="n">
        <f aca="false">ROUND(N(E687)*K687*(1-N(G687)),2)</f>
        <v>0</v>
      </c>
      <c r="M687" s="36" t="n">
        <f aca="false">IF(A687="",0,IFERROR(INDEX(Items!$E$5:$E$304,MATCH(D687,Items!$A$5:$A$304,0)),0))</f>
        <v>0</v>
      </c>
      <c r="N687" s="37" t="str">
        <f aca="false">IF(A687="","",IFERROR(INDEX(Customers!$E$5:$E$204,MATCH(C687,Customers!$A$5:$A$204,0)),"?"))</f>
        <v/>
      </c>
      <c r="O687" s="38" t="str">
        <f aca="false">IF(A687="","",IF(N687=Settings!$B$17,"No","Yes"))</f>
        <v/>
      </c>
      <c r="P687" s="35" t="n">
        <f aca="false">IF(O687="Yes",ROUND(L687*M687,2),0)</f>
        <v>0</v>
      </c>
      <c r="Q687" s="35" t="n">
        <f aca="false">IF(O687="No",ROUND(L687*M687/2,2),0)</f>
        <v>0</v>
      </c>
      <c r="R687" s="35" t="n">
        <f aca="false">Q687</f>
        <v>0</v>
      </c>
      <c r="S687" s="35" t="n">
        <f aca="false">L687+P687+Q687+R687</f>
        <v>0</v>
      </c>
      <c r="T687" s="34" t="str">
        <f aca="false">IF(A687="","",IFERROR(INDEX(Customers!$B$5:$B$204,MATCH(C687,Customers!$A$5:$A$204,0))&amp;"",""))</f>
        <v/>
      </c>
      <c r="U687" s="38" t="str">
        <f aca="false">IF(A687="","",IF(T687&lt;&gt;"","B2B",IF(AND(O687="Yes",SUMIF($A$5:$A$1004,A687,$L$5:$L$1004)+SUMIF($A$5:$A$1004,A687,$P$5:$P$1004)&gt;100000),"B2CL","B2CS")))</f>
        <v/>
      </c>
      <c r="V687" s="17" t="str">
        <f aca="false">IF(A687="","",TEXT(B687,"mmm-yyyy"))</f>
        <v/>
      </c>
    </row>
    <row r="688" customFormat="false" ht="15" hidden="false" customHeight="true" outlineLevel="0" collapsed="false">
      <c r="A688" s="24"/>
      <c r="B688" s="39"/>
      <c r="C688" s="24"/>
      <c r="D688" s="24"/>
      <c r="E688" s="40"/>
      <c r="F688" s="29"/>
      <c r="G688" s="30"/>
      <c r="H688" s="17" t="str">
        <f aca="false">IF(A688="","",A688&amp;"|"&amp;COUNTIF(A$5:A688,A688))</f>
        <v/>
      </c>
      <c r="I688" s="33" t="str">
        <f aca="false">IF(A688="","",IFERROR(INDEX(Items!$B$5:$B$304,MATCH(D688,Items!$A$5:$A$304,0))&amp;"",""))</f>
        <v/>
      </c>
      <c r="J688" s="34" t="str">
        <f aca="false">IF(A688="","",IFERROR(INDEX(Items!$C$5:$C$304,MATCH(D688,Items!$A$5:$A$304,0))&amp;"",""))</f>
        <v/>
      </c>
      <c r="K688" s="35" t="n">
        <f aca="false">IF(A688="",0,IF(ISNUMBER(F688),F688,IFERROR(INDEX(Items!$D$5:$D$304,MATCH(D688,Items!$A$5:$A$304,0)),0)))</f>
        <v>0</v>
      </c>
      <c r="L688" s="35" t="n">
        <f aca="false">ROUND(N(E688)*K688*(1-N(G688)),2)</f>
        <v>0</v>
      </c>
      <c r="M688" s="36" t="n">
        <f aca="false">IF(A688="",0,IFERROR(INDEX(Items!$E$5:$E$304,MATCH(D688,Items!$A$5:$A$304,0)),0))</f>
        <v>0</v>
      </c>
      <c r="N688" s="37" t="str">
        <f aca="false">IF(A688="","",IFERROR(INDEX(Customers!$E$5:$E$204,MATCH(C688,Customers!$A$5:$A$204,0)),"?"))</f>
        <v/>
      </c>
      <c r="O688" s="38" t="str">
        <f aca="false">IF(A688="","",IF(N688=Settings!$B$17,"No","Yes"))</f>
        <v/>
      </c>
      <c r="P688" s="35" t="n">
        <f aca="false">IF(O688="Yes",ROUND(L688*M688,2),0)</f>
        <v>0</v>
      </c>
      <c r="Q688" s="35" t="n">
        <f aca="false">IF(O688="No",ROUND(L688*M688/2,2),0)</f>
        <v>0</v>
      </c>
      <c r="R688" s="35" t="n">
        <f aca="false">Q688</f>
        <v>0</v>
      </c>
      <c r="S688" s="35" t="n">
        <f aca="false">L688+P688+Q688+R688</f>
        <v>0</v>
      </c>
      <c r="T688" s="34" t="str">
        <f aca="false">IF(A688="","",IFERROR(INDEX(Customers!$B$5:$B$204,MATCH(C688,Customers!$A$5:$A$204,0))&amp;"",""))</f>
        <v/>
      </c>
      <c r="U688" s="38" t="str">
        <f aca="false">IF(A688="","",IF(T688&lt;&gt;"","B2B",IF(AND(O688="Yes",SUMIF($A$5:$A$1004,A688,$L$5:$L$1004)+SUMIF($A$5:$A$1004,A688,$P$5:$P$1004)&gt;100000),"B2CL","B2CS")))</f>
        <v/>
      </c>
      <c r="V688" s="17" t="str">
        <f aca="false">IF(A688="","",TEXT(B688,"mmm-yyyy"))</f>
        <v/>
      </c>
    </row>
    <row r="689" customFormat="false" ht="15" hidden="false" customHeight="true" outlineLevel="0" collapsed="false">
      <c r="A689" s="24"/>
      <c r="B689" s="39"/>
      <c r="C689" s="24"/>
      <c r="D689" s="24"/>
      <c r="E689" s="40"/>
      <c r="F689" s="29"/>
      <c r="G689" s="30"/>
      <c r="H689" s="17" t="str">
        <f aca="false">IF(A689="","",A689&amp;"|"&amp;COUNTIF(A$5:A689,A689))</f>
        <v/>
      </c>
      <c r="I689" s="33" t="str">
        <f aca="false">IF(A689="","",IFERROR(INDEX(Items!$B$5:$B$304,MATCH(D689,Items!$A$5:$A$304,0))&amp;"",""))</f>
        <v/>
      </c>
      <c r="J689" s="34" t="str">
        <f aca="false">IF(A689="","",IFERROR(INDEX(Items!$C$5:$C$304,MATCH(D689,Items!$A$5:$A$304,0))&amp;"",""))</f>
        <v/>
      </c>
      <c r="K689" s="35" t="n">
        <f aca="false">IF(A689="",0,IF(ISNUMBER(F689),F689,IFERROR(INDEX(Items!$D$5:$D$304,MATCH(D689,Items!$A$5:$A$304,0)),0)))</f>
        <v>0</v>
      </c>
      <c r="L689" s="35" t="n">
        <f aca="false">ROUND(N(E689)*K689*(1-N(G689)),2)</f>
        <v>0</v>
      </c>
      <c r="M689" s="36" t="n">
        <f aca="false">IF(A689="",0,IFERROR(INDEX(Items!$E$5:$E$304,MATCH(D689,Items!$A$5:$A$304,0)),0))</f>
        <v>0</v>
      </c>
      <c r="N689" s="37" t="str">
        <f aca="false">IF(A689="","",IFERROR(INDEX(Customers!$E$5:$E$204,MATCH(C689,Customers!$A$5:$A$204,0)),"?"))</f>
        <v/>
      </c>
      <c r="O689" s="38" t="str">
        <f aca="false">IF(A689="","",IF(N689=Settings!$B$17,"No","Yes"))</f>
        <v/>
      </c>
      <c r="P689" s="35" t="n">
        <f aca="false">IF(O689="Yes",ROUND(L689*M689,2),0)</f>
        <v>0</v>
      </c>
      <c r="Q689" s="35" t="n">
        <f aca="false">IF(O689="No",ROUND(L689*M689/2,2),0)</f>
        <v>0</v>
      </c>
      <c r="R689" s="35" t="n">
        <f aca="false">Q689</f>
        <v>0</v>
      </c>
      <c r="S689" s="35" t="n">
        <f aca="false">L689+P689+Q689+R689</f>
        <v>0</v>
      </c>
      <c r="T689" s="34" t="str">
        <f aca="false">IF(A689="","",IFERROR(INDEX(Customers!$B$5:$B$204,MATCH(C689,Customers!$A$5:$A$204,0))&amp;"",""))</f>
        <v/>
      </c>
      <c r="U689" s="38" t="str">
        <f aca="false">IF(A689="","",IF(T689&lt;&gt;"","B2B",IF(AND(O689="Yes",SUMIF($A$5:$A$1004,A689,$L$5:$L$1004)+SUMIF($A$5:$A$1004,A689,$P$5:$P$1004)&gt;100000),"B2CL","B2CS")))</f>
        <v/>
      </c>
      <c r="V689" s="17" t="str">
        <f aca="false">IF(A689="","",TEXT(B689,"mmm-yyyy"))</f>
        <v/>
      </c>
    </row>
    <row r="690" customFormat="false" ht="15" hidden="false" customHeight="true" outlineLevel="0" collapsed="false">
      <c r="A690" s="24"/>
      <c r="B690" s="39"/>
      <c r="C690" s="24"/>
      <c r="D690" s="24"/>
      <c r="E690" s="40"/>
      <c r="F690" s="29"/>
      <c r="G690" s="30"/>
      <c r="H690" s="17" t="str">
        <f aca="false">IF(A690="","",A690&amp;"|"&amp;COUNTIF(A$5:A690,A690))</f>
        <v/>
      </c>
      <c r="I690" s="33" t="str">
        <f aca="false">IF(A690="","",IFERROR(INDEX(Items!$B$5:$B$304,MATCH(D690,Items!$A$5:$A$304,0))&amp;"",""))</f>
        <v/>
      </c>
      <c r="J690" s="34" t="str">
        <f aca="false">IF(A690="","",IFERROR(INDEX(Items!$C$5:$C$304,MATCH(D690,Items!$A$5:$A$304,0))&amp;"",""))</f>
        <v/>
      </c>
      <c r="K690" s="35" t="n">
        <f aca="false">IF(A690="",0,IF(ISNUMBER(F690),F690,IFERROR(INDEX(Items!$D$5:$D$304,MATCH(D690,Items!$A$5:$A$304,0)),0)))</f>
        <v>0</v>
      </c>
      <c r="L690" s="35" t="n">
        <f aca="false">ROUND(N(E690)*K690*(1-N(G690)),2)</f>
        <v>0</v>
      </c>
      <c r="M690" s="36" t="n">
        <f aca="false">IF(A690="",0,IFERROR(INDEX(Items!$E$5:$E$304,MATCH(D690,Items!$A$5:$A$304,0)),0))</f>
        <v>0</v>
      </c>
      <c r="N690" s="37" t="str">
        <f aca="false">IF(A690="","",IFERROR(INDEX(Customers!$E$5:$E$204,MATCH(C690,Customers!$A$5:$A$204,0)),"?"))</f>
        <v/>
      </c>
      <c r="O690" s="38" t="str">
        <f aca="false">IF(A690="","",IF(N690=Settings!$B$17,"No","Yes"))</f>
        <v/>
      </c>
      <c r="P690" s="35" t="n">
        <f aca="false">IF(O690="Yes",ROUND(L690*M690,2),0)</f>
        <v>0</v>
      </c>
      <c r="Q690" s="35" t="n">
        <f aca="false">IF(O690="No",ROUND(L690*M690/2,2),0)</f>
        <v>0</v>
      </c>
      <c r="R690" s="35" t="n">
        <f aca="false">Q690</f>
        <v>0</v>
      </c>
      <c r="S690" s="35" t="n">
        <f aca="false">L690+P690+Q690+R690</f>
        <v>0</v>
      </c>
      <c r="T690" s="34" t="str">
        <f aca="false">IF(A690="","",IFERROR(INDEX(Customers!$B$5:$B$204,MATCH(C690,Customers!$A$5:$A$204,0))&amp;"",""))</f>
        <v/>
      </c>
      <c r="U690" s="38" t="str">
        <f aca="false">IF(A690="","",IF(T690&lt;&gt;"","B2B",IF(AND(O690="Yes",SUMIF($A$5:$A$1004,A690,$L$5:$L$1004)+SUMIF($A$5:$A$1004,A690,$P$5:$P$1004)&gt;100000),"B2CL","B2CS")))</f>
        <v/>
      </c>
      <c r="V690" s="17" t="str">
        <f aca="false">IF(A690="","",TEXT(B690,"mmm-yyyy"))</f>
        <v/>
      </c>
    </row>
    <row r="691" customFormat="false" ht="15" hidden="false" customHeight="true" outlineLevel="0" collapsed="false">
      <c r="A691" s="24"/>
      <c r="B691" s="39"/>
      <c r="C691" s="24"/>
      <c r="D691" s="24"/>
      <c r="E691" s="40"/>
      <c r="F691" s="29"/>
      <c r="G691" s="30"/>
      <c r="H691" s="17" t="str">
        <f aca="false">IF(A691="","",A691&amp;"|"&amp;COUNTIF(A$5:A691,A691))</f>
        <v/>
      </c>
      <c r="I691" s="33" t="str">
        <f aca="false">IF(A691="","",IFERROR(INDEX(Items!$B$5:$B$304,MATCH(D691,Items!$A$5:$A$304,0))&amp;"",""))</f>
        <v/>
      </c>
      <c r="J691" s="34" t="str">
        <f aca="false">IF(A691="","",IFERROR(INDEX(Items!$C$5:$C$304,MATCH(D691,Items!$A$5:$A$304,0))&amp;"",""))</f>
        <v/>
      </c>
      <c r="K691" s="35" t="n">
        <f aca="false">IF(A691="",0,IF(ISNUMBER(F691),F691,IFERROR(INDEX(Items!$D$5:$D$304,MATCH(D691,Items!$A$5:$A$304,0)),0)))</f>
        <v>0</v>
      </c>
      <c r="L691" s="35" t="n">
        <f aca="false">ROUND(N(E691)*K691*(1-N(G691)),2)</f>
        <v>0</v>
      </c>
      <c r="M691" s="36" t="n">
        <f aca="false">IF(A691="",0,IFERROR(INDEX(Items!$E$5:$E$304,MATCH(D691,Items!$A$5:$A$304,0)),0))</f>
        <v>0</v>
      </c>
      <c r="N691" s="37" t="str">
        <f aca="false">IF(A691="","",IFERROR(INDEX(Customers!$E$5:$E$204,MATCH(C691,Customers!$A$5:$A$204,0)),"?"))</f>
        <v/>
      </c>
      <c r="O691" s="38" t="str">
        <f aca="false">IF(A691="","",IF(N691=Settings!$B$17,"No","Yes"))</f>
        <v/>
      </c>
      <c r="P691" s="35" t="n">
        <f aca="false">IF(O691="Yes",ROUND(L691*M691,2),0)</f>
        <v>0</v>
      </c>
      <c r="Q691" s="35" t="n">
        <f aca="false">IF(O691="No",ROUND(L691*M691/2,2),0)</f>
        <v>0</v>
      </c>
      <c r="R691" s="35" t="n">
        <f aca="false">Q691</f>
        <v>0</v>
      </c>
      <c r="S691" s="35" t="n">
        <f aca="false">L691+P691+Q691+R691</f>
        <v>0</v>
      </c>
      <c r="T691" s="34" t="str">
        <f aca="false">IF(A691="","",IFERROR(INDEX(Customers!$B$5:$B$204,MATCH(C691,Customers!$A$5:$A$204,0))&amp;"",""))</f>
        <v/>
      </c>
      <c r="U691" s="38" t="str">
        <f aca="false">IF(A691="","",IF(T691&lt;&gt;"","B2B",IF(AND(O691="Yes",SUMIF($A$5:$A$1004,A691,$L$5:$L$1004)+SUMIF($A$5:$A$1004,A691,$P$5:$P$1004)&gt;100000),"B2CL","B2CS")))</f>
        <v/>
      </c>
      <c r="V691" s="17" t="str">
        <f aca="false">IF(A691="","",TEXT(B691,"mmm-yyyy"))</f>
        <v/>
      </c>
    </row>
    <row r="692" customFormat="false" ht="15" hidden="false" customHeight="true" outlineLevel="0" collapsed="false">
      <c r="A692" s="24"/>
      <c r="B692" s="39"/>
      <c r="C692" s="24"/>
      <c r="D692" s="24"/>
      <c r="E692" s="40"/>
      <c r="F692" s="29"/>
      <c r="G692" s="30"/>
      <c r="H692" s="17" t="str">
        <f aca="false">IF(A692="","",A692&amp;"|"&amp;COUNTIF(A$5:A692,A692))</f>
        <v/>
      </c>
      <c r="I692" s="33" t="str">
        <f aca="false">IF(A692="","",IFERROR(INDEX(Items!$B$5:$B$304,MATCH(D692,Items!$A$5:$A$304,0))&amp;"",""))</f>
        <v/>
      </c>
      <c r="J692" s="34" t="str">
        <f aca="false">IF(A692="","",IFERROR(INDEX(Items!$C$5:$C$304,MATCH(D692,Items!$A$5:$A$304,0))&amp;"",""))</f>
        <v/>
      </c>
      <c r="K692" s="35" t="n">
        <f aca="false">IF(A692="",0,IF(ISNUMBER(F692),F692,IFERROR(INDEX(Items!$D$5:$D$304,MATCH(D692,Items!$A$5:$A$304,0)),0)))</f>
        <v>0</v>
      </c>
      <c r="L692" s="35" t="n">
        <f aca="false">ROUND(N(E692)*K692*(1-N(G692)),2)</f>
        <v>0</v>
      </c>
      <c r="M692" s="36" t="n">
        <f aca="false">IF(A692="",0,IFERROR(INDEX(Items!$E$5:$E$304,MATCH(D692,Items!$A$5:$A$304,0)),0))</f>
        <v>0</v>
      </c>
      <c r="N692" s="37" t="str">
        <f aca="false">IF(A692="","",IFERROR(INDEX(Customers!$E$5:$E$204,MATCH(C692,Customers!$A$5:$A$204,0)),"?"))</f>
        <v/>
      </c>
      <c r="O692" s="38" t="str">
        <f aca="false">IF(A692="","",IF(N692=Settings!$B$17,"No","Yes"))</f>
        <v/>
      </c>
      <c r="P692" s="35" t="n">
        <f aca="false">IF(O692="Yes",ROUND(L692*M692,2),0)</f>
        <v>0</v>
      </c>
      <c r="Q692" s="35" t="n">
        <f aca="false">IF(O692="No",ROUND(L692*M692/2,2),0)</f>
        <v>0</v>
      </c>
      <c r="R692" s="35" t="n">
        <f aca="false">Q692</f>
        <v>0</v>
      </c>
      <c r="S692" s="35" t="n">
        <f aca="false">L692+P692+Q692+R692</f>
        <v>0</v>
      </c>
      <c r="T692" s="34" t="str">
        <f aca="false">IF(A692="","",IFERROR(INDEX(Customers!$B$5:$B$204,MATCH(C692,Customers!$A$5:$A$204,0))&amp;"",""))</f>
        <v/>
      </c>
      <c r="U692" s="38" t="str">
        <f aca="false">IF(A692="","",IF(T692&lt;&gt;"","B2B",IF(AND(O692="Yes",SUMIF($A$5:$A$1004,A692,$L$5:$L$1004)+SUMIF($A$5:$A$1004,A692,$P$5:$P$1004)&gt;100000),"B2CL","B2CS")))</f>
        <v/>
      </c>
      <c r="V692" s="17" t="str">
        <f aca="false">IF(A692="","",TEXT(B692,"mmm-yyyy"))</f>
        <v/>
      </c>
    </row>
    <row r="693" customFormat="false" ht="15" hidden="false" customHeight="true" outlineLevel="0" collapsed="false">
      <c r="A693" s="24"/>
      <c r="B693" s="39"/>
      <c r="C693" s="24"/>
      <c r="D693" s="24"/>
      <c r="E693" s="40"/>
      <c r="F693" s="29"/>
      <c r="G693" s="30"/>
      <c r="H693" s="17" t="str">
        <f aca="false">IF(A693="","",A693&amp;"|"&amp;COUNTIF(A$5:A693,A693))</f>
        <v/>
      </c>
      <c r="I693" s="33" t="str">
        <f aca="false">IF(A693="","",IFERROR(INDEX(Items!$B$5:$B$304,MATCH(D693,Items!$A$5:$A$304,0))&amp;"",""))</f>
        <v/>
      </c>
      <c r="J693" s="34" t="str">
        <f aca="false">IF(A693="","",IFERROR(INDEX(Items!$C$5:$C$304,MATCH(D693,Items!$A$5:$A$304,0))&amp;"",""))</f>
        <v/>
      </c>
      <c r="K693" s="35" t="n">
        <f aca="false">IF(A693="",0,IF(ISNUMBER(F693),F693,IFERROR(INDEX(Items!$D$5:$D$304,MATCH(D693,Items!$A$5:$A$304,0)),0)))</f>
        <v>0</v>
      </c>
      <c r="L693" s="35" t="n">
        <f aca="false">ROUND(N(E693)*K693*(1-N(G693)),2)</f>
        <v>0</v>
      </c>
      <c r="M693" s="36" t="n">
        <f aca="false">IF(A693="",0,IFERROR(INDEX(Items!$E$5:$E$304,MATCH(D693,Items!$A$5:$A$304,0)),0))</f>
        <v>0</v>
      </c>
      <c r="N693" s="37" t="str">
        <f aca="false">IF(A693="","",IFERROR(INDEX(Customers!$E$5:$E$204,MATCH(C693,Customers!$A$5:$A$204,0)),"?"))</f>
        <v/>
      </c>
      <c r="O693" s="38" t="str">
        <f aca="false">IF(A693="","",IF(N693=Settings!$B$17,"No","Yes"))</f>
        <v/>
      </c>
      <c r="P693" s="35" t="n">
        <f aca="false">IF(O693="Yes",ROUND(L693*M693,2),0)</f>
        <v>0</v>
      </c>
      <c r="Q693" s="35" t="n">
        <f aca="false">IF(O693="No",ROUND(L693*M693/2,2),0)</f>
        <v>0</v>
      </c>
      <c r="R693" s="35" t="n">
        <f aca="false">Q693</f>
        <v>0</v>
      </c>
      <c r="S693" s="35" t="n">
        <f aca="false">L693+P693+Q693+R693</f>
        <v>0</v>
      </c>
      <c r="T693" s="34" t="str">
        <f aca="false">IF(A693="","",IFERROR(INDEX(Customers!$B$5:$B$204,MATCH(C693,Customers!$A$5:$A$204,0))&amp;"",""))</f>
        <v/>
      </c>
      <c r="U693" s="38" t="str">
        <f aca="false">IF(A693="","",IF(T693&lt;&gt;"","B2B",IF(AND(O693="Yes",SUMIF($A$5:$A$1004,A693,$L$5:$L$1004)+SUMIF($A$5:$A$1004,A693,$P$5:$P$1004)&gt;100000),"B2CL","B2CS")))</f>
        <v/>
      </c>
      <c r="V693" s="17" t="str">
        <f aca="false">IF(A693="","",TEXT(B693,"mmm-yyyy"))</f>
        <v/>
      </c>
    </row>
    <row r="694" customFormat="false" ht="15" hidden="false" customHeight="true" outlineLevel="0" collapsed="false">
      <c r="A694" s="24"/>
      <c r="B694" s="39"/>
      <c r="C694" s="24"/>
      <c r="D694" s="24"/>
      <c r="E694" s="40"/>
      <c r="F694" s="29"/>
      <c r="G694" s="30"/>
      <c r="H694" s="17" t="str">
        <f aca="false">IF(A694="","",A694&amp;"|"&amp;COUNTIF(A$5:A694,A694))</f>
        <v/>
      </c>
      <c r="I694" s="33" t="str">
        <f aca="false">IF(A694="","",IFERROR(INDEX(Items!$B$5:$B$304,MATCH(D694,Items!$A$5:$A$304,0))&amp;"",""))</f>
        <v/>
      </c>
      <c r="J694" s="34" t="str">
        <f aca="false">IF(A694="","",IFERROR(INDEX(Items!$C$5:$C$304,MATCH(D694,Items!$A$5:$A$304,0))&amp;"",""))</f>
        <v/>
      </c>
      <c r="K694" s="35" t="n">
        <f aca="false">IF(A694="",0,IF(ISNUMBER(F694),F694,IFERROR(INDEX(Items!$D$5:$D$304,MATCH(D694,Items!$A$5:$A$304,0)),0)))</f>
        <v>0</v>
      </c>
      <c r="L694" s="35" t="n">
        <f aca="false">ROUND(N(E694)*K694*(1-N(G694)),2)</f>
        <v>0</v>
      </c>
      <c r="M694" s="36" t="n">
        <f aca="false">IF(A694="",0,IFERROR(INDEX(Items!$E$5:$E$304,MATCH(D694,Items!$A$5:$A$304,0)),0))</f>
        <v>0</v>
      </c>
      <c r="N694" s="37" t="str">
        <f aca="false">IF(A694="","",IFERROR(INDEX(Customers!$E$5:$E$204,MATCH(C694,Customers!$A$5:$A$204,0)),"?"))</f>
        <v/>
      </c>
      <c r="O694" s="38" t="str">
        <f aca="false">IF(A694="","",IF(N694=Settings!$B$17,"No","Yes"))</f>
        <v/>
      </c>
      <c r="P694" s="35" t="n">
        <f aca="false">IF(O694="Yes",ROUND(L694*M694,2),0)</f>
        <v>0</v>
      </c>
      <c r="Q694" s="35" t="n">
        <f aca="false">IF(O694="No",ROUND(L694*M694/2,2),0)</f>
        <v>0</v>
      </c>
      <c r="R694" s="35" t="n">
        <f aca="false">Q694</f>
        <v>0</v>
      </c>
      <c r="S694" s="35" t="n">
        <f aca="false">L694+P694+Q694+R694</f>
        <v>0</v>
      </c>
      <c r="T694" s="34" t="str">
        <f aca="false">IF(A694="","",IFERROR(INDEX(Customers!$B$5:$B$204,MATCH(C694,Customers!$A$5:$A$204,0))&amp;"",""))</f>
        <v/>
      </c>
      <c r="U694" s="38" t="str">
        <f aca="false">IF(A694="","",IF(T694&lt;&gt;"","B2B",IF(AND(O694="Yes",SUMIF($A$5:$A$1004,A694,$L$5:$L$1004)+SUMIF($A$5:$A$1004,A694,$P$5:$P$1004)&gt;100000),"B2CL","B2CS")))</f>
        <v/>
      </c>
      <c r="V694" s="17" t="str">
        <f aca="false">IF(A694="","",TEXT(B694,"mmm-yyyy"))</f>
        <v/>
      </c>
    </row>
    <row r="695" customFormat="false" ht="15" hidden="false" customHeight="true" outlineLevel="0" collapsed="false">
      <c r="A695" s="24"/>
      <c r="B695" s="39"/>
      <c r="C695" s="24"/>
      <c r="D695" s="24"/>
      <c r="E695" s="40"/>
      <c r="F695" s="29"/>
      <c r="G695" s="30"/>
      <c r="H695" s="17" t="str">
        <f aca="false">IF(A695="","",A695&amp;"|"&amp;COUNTIF(A$5:A695,A695))</f>
        <v/>
      </c>
      <c r="I695" s="33" t="str">
        <f aca="false">IF(A695="","",IFERROR(INDEX(Items!$B$5:$B$304,MATCH(D695,Items!$A$5:$A$304,0))&amp;"",""))</f>
        <v/>
      </c>
      <c r="J695" s="34" t="str">
        <f aca="false">IF(A695="","",IFERROR(INDEX(Items!$C$5:$C$304,MATCH(D695,Items!$A$5:$A$304,0))&amp;"",""))</f>
        <v/>
      </c>
      <c r="K695" s="35" t="n">
        <f aca="false">IF(A695="",0,IF(ISNUMBER(F695),F695,IFERROR(INDEX(Items!$D$5:$D$304,MATCH(D695,Items!$A$5:$A$304,0)),0)))</f>
        <v>0</v>
      </c>
      <c r="L695" s="35" t="n">
        <f aca="false">ROUND(N(E695)*K695*(1-N(G695)),2)</f>
        <v>0</v>
      </c>
      <c r="M695" s="36" t="n">
        <f aca="false">IF(A695="",0,IFERROR(INDEX(Items!$E$5:$E$304,MATCH(D695,Items!$A$5:$A$304,0)),0))</f>
        <v>0</v>
      </c>
      <c r="N695" s="37" t="str">
        <f aca="false">IF(A695="","",IFERROR(INDEX(Customers!$E$5:$E$204,MATCH(C695,Customers!$A$5:$A$204,0)),"?"))</f>
        <v/>
      </c>
      <c r="O695" s="38" t="str">
        <f aca="false">IF(A695="","",IF(N695=Settings!$B$17,"No","Yes"))</f>
        <v/>
      </c>
      <c r="P695" s="35" t="n">
        <f aca="false">IF(O695="Yes",ROUND(L695*M695,2),0)</f>
        <v>0</v>
      </c>
      <c r="Q695" s="35" t="n">
        <f aca="false">IF(O695="No",ROUND(L695*M695/2,2),0)</f>
        <v>0</v>
      </c>
      <c r="R695" s="35" t="n">
        <f aca="false">Q695</f>
        <v>0</v>
      </c>
      <c r="S695" s="35" t="n">
        <f aca="false">L695+P695+Q695+R695</f>
        <v>0</v>
      </c>
      <c r="T695" s="34" t="str">
        <f aca="false">IF(A695="","",IFERROR(INDEX(Customers!$B$5:$B$204,MATCH(C695,Customers!$A$5:$A$204,0))&amp;"",""))</f>
        <v/>
      </c>
      <c r="U695" s="38" t="str">
        <f aca="false">IF(A695="","",IF(T695&lt;&gt;"","B2B",IF(AND(O695="Yes",SUMIF($A$5:$A$1004,A695,$L$5:$L$1004)+SUMIF($A$5:$A$1004,A695,$P$5:$P$1004)&gt;100000),"B2CL","B2CS")))</f>
        <v/>
      </c>
      <c r="V695" s="17" t="str">
        <f aca="false">IF(A695="","",TEXT(B695,"mmm-yyyy"))</f>
        <v/>
      </c>
    </row>
    <row r="696" customFormat="false" ht="15" hidden="false" customHeight="true" outlineLevel="0" collapsed="false">
      <c r="A696" s="24"/>
      <c r="B696" s="39"/>
      <c r="C696" s="24"/>
      <c r="D696" s="24"/>
      <c r="E696" s="40"/>
      <c r="F696" s="29"/>
      <c r="G696" s="30"/>
      <c r="H696" s="17" t="str">
        <f aca="false">IF(A696="","",A696&amp;"|"&amp;COUNTIF(A$5:A696,A696))</f>
        <v/>
      </c>
      <c r="I696" s="33" t="str">
        <f aca="false">IF(A696="","",IFERROR(INDEX(Items!$B$5:$B$304,MATCH(D696,Items!$A$5:$A$304,0))&amp;"",""))</f>
        <v/>
      </c>
      <c r="J696" s="34" t="str">
        <f aca="false">IF(A696="","",IFERROR(INDEX(Items!$C$5:$C$304,MATCH(D696,Items!$A$5:$A$304,0))&amp;"",""))</f>
        <v/>
      </c>
      <c r="K696" s="35" t="n">
        <f aca="false">IF(A696="",0,IF(ISNUMBER(F696),F696,IFERROR(INDEX(Items!$D$5:$D$304,MATCH(D696,Items!$A$5:$A$304,0)),0)))</f>
        <v>0</v>
      </c>
      <c r="L696" s="35" t="n">
        <f aca="false">ROUND(N(E696)*K696*(1-N(G696)),2)</f>
        <v>0</v>
      </c>
      <c r="M696" s="36" t="n">
        <f aca="false">IF(A696="",0,IFERROR(INDEX(Items!$E$5:$E$304,MATCH(D696,Items!$A$5:$A$304,0)),0))</f>
        <v>0</v>
      </c>
      <c r="N696" s="37" t="str">
        <f aca="false">IF(A696="","",IFERROR(INDEX(Customers!$E$5:$E$204,MATCH(C696,Customers!$A$5:$A$204,0)),"?"))</f>
        <v/>
      </c>
      <c r="O696" s="38" t="str">
        <f aca="false">IF(A696="","",IF(N696=Settings!$B$17,"No","Yes"))</f>
        <v/>
      </c>
      <c r="P696" s="35" t="n">
        <f aca="false">IF(O696="Yes",ROUND(L696*M696,2),0)</f>
        <v>0</v>
      </c>
      <c r="Q696" s="35" t="n">
        <f aca="false">IF(O696="No",ROUND(L696*M696/2,2),0)</f>
        <v>0</v>
      </c>
      <c r="R696" s="35" t="n">
        <f aca="false">Q696</f>
        <v>0</v>
      </c>
      <c r="S696" s="35" t="n">
        <f aca="false">L696+P696+Q696+R696</f>
        <v>0</v>
      </c>
      <c r="T696" s="34" t="str">
        <f aca="false">IF(A696="","",IFERROR(INDEX(Customers!$B$5:$B$204,MATCH(C696,Customers!$A$5:$A$204,0))&amp;"",""))</f>
        <v/>
      </c>
      <c r="U696" s="38" t="str">
        <f aca="false">IF(A696="","",IF(T696&lt;&gt;"","B2B",IF(AND(O696="Yes",SUMIF($A$5:$A$1004,A696,$L$5:$L$1004)+SUMIF($A$5:$A$1004,A696,$P$5:$P$1004)&gt;100000),"B2CL","B2CS")))</f>
        <v/>
      </c>
      <c r="V696" s="17" t="str">
        <f aca="false">IF(A696="","",TEXT(B696,"mmm-yyyy"))</f>
        <v/>
      </c>
    </row>
    <row r="697" customFormat="false" ht="15" hidden="false" customHeight="true" outlineLevel="0" collapsed="false">
      <c r="A697" s="24"/>
      <c r="B697" s="39"/>
      <c r="C697" s="24"/>
      <c r="D697" s="24"/>
      <c r="E697" s="40"/>
      <c r="F697" s="29"/>
      <c r="G697" s="30"/>
      <c r="H697" s="17" t="str">
        <f aca="false">IF(A697="","",A697&amp;"|"&amp;COUNTIF(A$5:A697,A697))</f>
        <v/>
      </c>
      <c r="I697" s="33" t="str">
        <f aca="false">IF(A697="","",IFERROR(INDEX(Items!$B$5:$B$304,MATCH(D697,Items!$A$5:$A$304,0))&amp;"",""))</f>
        <v/>
      </c>
      <c r="J697" s="34" t="str">
        <f aca="false">IF(A697="","",IFERROR(INDEX(Items!$C$5:$C$304,MATCH(D697,Items!$A$5:$A$304,0))&amp;"",""))</f>
        <v/>
      </c>
      <c r="K697" s="35" t="n">
        <f aca="false">IF(A697="",0,IF(ISNUMBER(F697),F697,IFERROR(INDEX(Items!$D$5:$D$304,MATCH(D697,Items!$A$5:$A$304,0)),0)))</f>
        <v>0</v>
      </c>
      <c r="L697" s="35" t="n">
        <f aca="false">ROUND(N(E697)*K697*(1-N(G697)),2)</f>
        <v>0</v>
      </c>
      <c r="M697" s="36" t="n">
        <f aca="false">IF(A697="",0,IFERROR(INDEX(Items!$E$5:$E$304,MATCH(D697,Items!$A$5:$A$304,0)),0))</f>
        <v>0</v>
      </c>
      <c r="N697" s="37" t="str">
        <f aca="false">IF(A697="","",IFERROR(INDEX(Customers!$E$5:$E$204,MATCH(C697,Customers!$A$5:$A$204,0)),"?"))</f>
        <v/>
      </c>
      <c r="O697" s="38" t="str">
        <f aca="false">IF(A697="","",IF(N697=Settings!$B$17,"No","Yes"))</f>
        <v/>
      </c>
      <c r="P697" s="35" t="n">
        <f aca="false">IF(O697="Yes",ROUND(L697*M697,2),0)</f>
        <v>0</v>
      </c>
      <c r="Q697" s="35" t="n">
        <f aca="false">IF(O697="No",ROUND(L697*M697/2,2),0)</f>
        <v>0</v>
      </c>
      <c r="R697" s="35" t="n">
        <f aca="false">Q697</f>
        <v>0</v>
      </c>
      <c r="S697" s="35" t="n">
        <f aca="false">L697+P697+Q697+R697</f>
        <v>0</v>
      </c>
      <c r="T697" s="34" t="str">
        <f aca="false">IF(A697="","",IFERROR(INDEX(Customers!$B$5:$B$204,MATCH(C697,Customers!$A$5:$A$204,0))&amp;"",""))</f>
        <v/>
      </c>
      <c r="U697" s="38" t="str">
        <f aca="false">IF(A697="","",IF(T697&lt;&gt;"","B2B",IF(AND(O697="Yes",SUMIF($A$5:$A$1004,A697,$L$5:$L$1004)+SUMIF($A$5:$A$1004,A697,$P$5:$P$1004)&gt;100000),"B2CL","B2CS")))</f>
        <v/>
      </c>
      <c r="V697" s="17" t="str">
        <f aca="false">IF(A697="","",TEXT(B697,"mmm-yyyy"))</f>
        <v/>
      </c>
    </row>
    <row r="698" customFormat="false" ht="15" hidden="false" customHeight="true" outlineLevel="0" collapsed="false">
      <c r="A698" s="24"/>
      <c r="B698" s="39"/>
      <c r="C698" s="24"/>
      <c r="D698" s="24"/>
      <c r="E698" s="40"/>
      <c r="F698" s="29"/>
      <c r="G698" s="30"/>
      <c r="H698" s="17" t="str">
        <f aca="false">IF(A698="","",A698&amp;"|"&amp;COUNTIF(A$5:A698,A698))</f>
        <v/>
      </c>
      <c r="I698" s="33" t="str">
        <f aca="false">IF(A698="","",IFERROR(INDEX(Items!$B$5:$B$304,MATCH(D698,Items!$A$5:$A$304,0))&amp;"",""))</f>
        <v/>
      </c>
      <c r="J698" s="34" t="str">
        <f aca="false">IF(A698="","",IFERROR(INDEX(Items!$C$5:$C$304,MATCH(D698,Items!$A$5:$A$304,0))&amp;"",""))</f>
        <v/>
      </c>
      <c r="K698" s="35" t="n">
        <f aca="false">IF(A698="",0,IF(ISNUMBER(F698),F698,IFERROR(INDEX(Items!$D$5:$D$304,MATCH(D698,Items!$A$5:$A$304,0)),0)))</f>
        <v>0</v>
      </c>
      <c r="L698" s="35" t="n">
        <f aca="false">ROUND(N(E698)*K698*(1-N(G698)),2)</f>
        <v>0</v>
      </c>
      <c r="M698" s="36" t="n">
        <f aca="false">IF(A698="",0,IFERROR(INDEX(Items!$E$5:$E$304,MATCH(D698,Items!$A$5:$A$304,0)),0))</f>
        <v>0</v>
      </c>
      <c r="N698" s="37" t="str">
        <f aca="false">IF(A698="","",IFERROR(INDEX(Customers!$E$5:$E$204,MATCH(C698,Customers!$A$5:$A$204,0)),"?"))</f>
        <v/>
      </c>
      <c r="O698" s="38" t="str">
        <f aca="false">IF(A698="","",IF(N698=Settings!$B$17,"No","Yes"))</f>
        <v/>
      </c>
      <c r="P698" s="35" t="n">
        <f aca="false">IF(O698="Yes",ROUND(L698*M698,2),0)</f>
        <v>0</v>
      </c>
      <c r="Q698" s="35" t="n">
        <f aca="false">IF(O698="No",ROUND(L698*M698/2,2),0)</f>
        <v>0</v>
      </c>
      <c r="R698" s="35" t="n">
        <f aca="false">Q698</f>
        <v>0</v>
      </c>
      <c r="S698" s="35" t="n">
        <f aca="false">L698+P698+Q698+R698</f>
        <v>0</v>
      </c>
      <c r="T698" s="34" t="str">
        <f aca="false">IF(A698="","",IFERROR(INDEX(Customers!$B$5:$B$204,MATCH(C698,Customers!$A$5:$A$204,0))&amp;"",""))</f>
        <v/>
      </c>
      <c r="U698" s="38" t="str">
        <f aca="false">IF(A698="","",IF(T698&lt;&gt;"","B2B",IF(AND(O698="Yes",SUMIF($A$5:$A$1004,A698,$L$5:$L$1004)+SUMIF($A$5:$A$1004,A698,$P$5:$P$1004)&gt;100000),"B2CL","B2CS")))</f>
        <v/>
      </c>
      <c r="V698" s="17" t="str">
        <f aca="false">IF(A698="","",TEXT(B698,"mmm-yyyy"))</f>
        <v/>
      </c>
    </row>
    <row r="699" customFormat="false" ht="15" hidden="false" customHeight="true" outlineLevel="0" collapsed="false">
      <c r="A699" s="24"/>
      <c r="B699" s="39"/>
      <c r="C699" s="24"/>
      <c r="D699" s="24"/>
      <c r="E699" s="40"/>
      <c r="F699" s="29"/>
      <c r="G699" s="30"/>
      <c r="H699" s="17" t="str">
        <f aca="false">IF(A699="","",A699&amp;"|"&amp;COUNTIF(A$5:A699,A699))</f>
        <v/>
      </c>
      <c r="I699" s="33" t="str">
        <f aca="false">IF(A699="","",IFERROR(INDEX(Items!$B$5:$B$304,MATCH(D699,Items!$A$5:$A$304,0))&amp;"",""))</f>
        <v/>
      </c>
      <c r="J699" s="34" t="str">
        <f aca="false">IF(A699="","",IFERROR(INDEX(Items!$C$5:$C$304,MATCH(D699,Items!$A$5:$A$304,0))&amp;"",""))</f>
        <v/>
      </c>
      <c r="K699" s="35" t="n">
        <f aca="false">IF(A699="",0,IF(ISNUMBER(F699),F699,IFERROR(INDEX(Items!$D$5:$D$304,MATCH(D699,Items!$A$5:$A$304,0)),0)))</f>
        <v>0</v>
      </c>
      <c r="L699" s="35" t="n">
        <f aca="false">ROUND(N(E699)*K699*(1-N(G699)),2)</f>
        <v>0</v>
      </c>
      <c r="M699" s="36" t="n">
        <f aca="false">IF(A699="",0,IFERROR(INDEX(Items!$E$5:$E$304,MATCH(D699,Items!$A$5:$A$304,0)),0))</f>
        <v>0</v>
      </c>
      <c r="N699" s="37" t="str">
        <f aca="false">IF(A699="","",IFERROR(INDEX(Customers!$E$5:$E$204,MATCH(C699,Customers!$A$5:$A$204,0)),"?"))</f>
        <v/>
      </c>
      <c r="O699" s="38" t="str">
        <f aca="false">IF(A699="","",IF(N699=Settings!$B$17,"No","Yes"))</f>
        <v/>
      </c>
      <c r="P699" s="35" t="n">
        <f aca="false">IF(O699="Yes",ROUND(L699*M699,2),0)</f>
        <v>0</v>
      </c>
      <c r="Q699" s="35" t="n">
        <f aca="false">IF(O699="No",ROUND(L699*M699/2,2),0)</f>
        <v>0</v>
      </c>
      <c r="R699" s="35" t="n">
        <f aca="false">Q699</f>
        <v>0</v>
      </c>
      <c r="S699" s="35" t="n">
        <f aca="false">L699+P699+Q699+R699</f>
        <v>0</v>
      </c>
      <c r="T699" s="34" t="str">
        <f aca="false">IF(A699="","",IFERROR(INDEX(Customers!$B$5:$B$204,MATCH(C699,Customers!$A$5:$A$204,0))&amp;"",""))</f>
        <v/>
      </c>
      <c r="U699" s="38" t="str">
        <f aca="false">IF(A699="","",IF(T699&lt;&gt;"","B2B",IF(AND(O699="Yes",SUMIF($A$5:$A$1004,A699,$L$5:$L$1004)+SUMIF($A$5:$A$1004,A699,$P$5:$P$1004)&gt;100000),"B2CL","B2CS")))</f>
        <v/>
      </c>
      <c r="V699" s="17" t="str">
        <f aca="false">IF(A699="","",TEXT(B699,"mmm-yyyy"))</f>
        <v/>
      </c>
    </row>
    <row r="700" customFormat="false" ht="15" hidden="false" customHeight="true" outlineLevel="0" collapsed="false">
      <c r="A700" s="24"/>
      <c r="B700" s="39"/>
      <c r="C700" s="24"/>
      <c r="D700" s="24"/>
      <c r="E700" s="40"/>
      <c r="F700" s="29"/>
      <c r="G700" s="30"/>
      <c r="H700" s="17" t="str">
        <f aca="false">IF(A700="","",A700&amp;"|"&amp;COUNTIF(A$5:A700,A700))</f>
        <v/>
      </c>
      <c r="I700" s="33" t="str">
        <f aca="false">IF(A700="","",IFERROR(INDEX(Items!$B$5:$B$304,MATCH(D700,Items!$A$5:$A$304,0))&amp;"",""))</f>
        <v/>
      </c>
      <c r="J700" s="34" t="str">
        <f aca="false">IF(A700="","",IFERROR(INDEX(Items!$C$5:$C$304,MATCH(D700,Items!$A$5:$A$304,0))&amp;"",""))</f>
        <v/>
      </c>
      <c r="K700" s="35" t="n">
        <f aca="false">IF(A700="",0,IF(ISNUMBER(F700),F700,IFERROR(INDEX(Items!$D$5:$D$304,MATCH(D700,Items!$A$5:$A$304,0)),0)))</f>
        <v>0</v>
      </c>
      <c r="L700" s="35" t="n">
        <f aca="false">ROUND(N(E700)*K700*(1-N(G700)),2)</f>
        <v>0</v>
      </c>
      <c r="M700" s="36" t="n">
        <f aca="false">IF(A700="",0,IFERROR(INDEX(Items!$E$5:$E$304,MATCH(D700,Items!$A$5:$A$304,0)),0))</f>
        <v>0</v>
      </c>
      <c r="N700" s="37" t="str">
        <f aca="false">IF(A700="","",IFERROR(INDEX(Customers!$E$5:$E$204,MATCH(C700,Customers!$A$5:$A$204,0)),"?"))</f>
        <v/>
      </c>
      <c r="O700" s="38" t="str">
        <f aca="false">IF(A700="","",IF(N700=Settings!$B$17,"No","Yes"))</f>
        <v/>
      </c>
      <c r="P700" s="35" t="n">
        <f aca="false">IF(O700="Yes",ROUND(L700*M700,2),0)</f>
        <v>0</v>
      </c>
      <c r="Q700" s="35" t="n">
        <f aca="false">IF(O700="No",ROUND(L700*M700/2,2),0)</f>
        <v>0</v>
      </c>
      <c r="R700" s="35" t="n">
        <f aca="false">Q700</f>
        <v>0</v>
      </c>
      <c r="S700" s="35" t="n">
        <f aca="false">L700+P700+Q700+R700</f>
        <v>0</v>
      </c>
      <c r="T700" s="34" t="str">
        <f aca="false">IF(A700="","",IFERROR(INDEX(Customers!$B$5:$B$204,MATCH(C700,Customers!$A$5:$A$204,0))&amp;"",""))</f>
        <v/>
      </c>
      <c r="U700" s="38" t="str">
        <f aca="false">IF(A700="","",IF(T700&lt;&gt;"","B2B",IF(AND(O700="Yes",SUMIF($A$5:$A$1004,A700,$L$5:$L$1004)+SUMIF($A$5:$A$1004,A700,$P$5:$P$1004)&gt;100000),"B2CL","B2CS")))</f>
        <v/>
      </c>
      <c r="V700" s="17" t="str">
        <f aca="false">IF(A700="","",TEXT(B700,"mmm-yyyy"))</f>
        <v/>
      </c>
    </row>
    <row r="701" customFormat="false" ht="15" hidden="false" customHeight="true" outlineLevel="0" collapsed="false">
      <c r="A701" s="24"/>
      <c r="B701" s="39"/>
      <c r="C701" s="24"/>
      <c r="D701" s="24"/>
      <c r="E701" s="40"/>
      <c r="F701" s="29"/>
      <c r="G701" s="30"/>
      <c r="H701" s="17" t="str">
        <f aca="false">IF(A701="","",A701&amp;"|"&amp;COUNTIF(A$5:A701,A701))</f>
        <v/>
      </c>
      <c r="I701" s="33" t="str">
        <f aca="false">IF(A701="","",IFERROR(INDEX(Items!$B$5:$B$304,MATCH(D701,Items!$A$5:$A$304,0))&amp;"",""))</f>
        <v/>
      </c>
      <c r="J701" s="34" t="str">
        <f aca="false">IF(A701="","",IFERROR(INDEX(Items!$C$5:$C$304,MATCH(D701,Items!$A$5:$A$304,0))&amp;"",""))</f>
        <v/>
      </c>
      <c r="K701" s="35" t="n">
        <f aca="false">IF(A701="",0,IF(ISNUMBER(F701),F701,IFERROR(INDEX(Items!$D$5:$D$304,MATCH(D701,Items!$A$5:$A$304,0)),0)))</f>
        <v>0</v>
      </c>
      <c r="L701" s="35" t="n">
        <f aca="false">ROUND(N(E701)*K701*(1-N(G701)),2)</f>
        <v>0</v>
      </c>
      <c r="M701" s="36" t="n">
        <f aca="false">IF(A701="",0,IFERROR(INDEX(Items!$E$5:$E$304,MATCH(D701,Items!$A$5:$A$304,0)),0))</f>
        <v>0</v>
      </c>
      <c r="N701" s="37" t="str">
        <f aca="false">IF(A701="","",IFERROR(INDEX(Customers!$E$5:$E$204,MATCH(C701,Customers!$A$5:$A$204,0)),"?"))</f>
        <v/>
      </c>
      <c r="O701" s="38" t="str">
        <f aca="false">IF(A701="","",IF(N701=Settings!$B$17,"No","Yes"))</f>
        <v/>
      </c>
      <c r="P701" s="35" t="n">
        <f aca="false">IF(O701="Yes",ROUND(L701*M701,2),0)</f>
        <v>0</v>
      </c>
      <c r="Q701" s="35" t="n">
        <f aca="false">IF(O701="No",ROUND(L701*M701/2,2),0)</f>
        <v>0</v>
      </c>
      <c r="R701" s="35" t="n">
        <f aca="false">Q701</f>
        <v>0</v>
      </c>
      <c r="S701" s="35" t="n">
        <f aca="false">L701+P701+Q701+R701</f>
        <v>0</v>
      </c>
      <c r="T701" s="34" t="str">
        <f aca="false">IF(A701="","",IFERROR(INDEX(Customers!$B$5:$B$204,MATCH(C701,Customers!$A$5:$A$204,0))&amp;"",""))</f>
        <v/>
      </c>
      <c r="U701" s="38" t="str">
        <f aca="false">IF(A701="","",IF(T701&lt;&gt;"","B2B",IF(AND(O701="Yes",SUMIF($A$5:$A$1004,A701,$L$5:$L$1004)+SUMIF($A$5:$A$1004,A701,$P$5:$P$1004)&gt;100000),"B2CL","B2CS")))</f>
        <v/>
      </c>
      <c r="V701" s="17" t="str">
        <f aca="false">IF(A701="","",TEXT(B701,"mmm-yyyy"))</f>
        <v/>
      </c>
    </row>
    <row r="702" customFormat="false" ht="15" hidden="false" customHeight="true" outlineLevel="0" collapsed="false">
      <c r="A702" s="24"/>
      <c r="B702" s="39"/>
      <c r="C702" s="24"/>
      <c r="D702" s="24"/>
      <c r="E702" s="40"/>
      <c r="F702" s="29"/>
      <c r="G702" s="30"/>
      <c r="H702" s="17" t="str">
        <f aca="false">IF(A702="","",A702&amp;"|"&amp;COUNTIF(A$5:A702,A702))</f>
        <v/>
      </c>
      <c r="I702" s="33" t="str">
        <f aca="false">IF(A702="","",IFERROR(INDEX(Items!$B$5:$B$304,MATCH(D702,Items!$A$5:$A$304,0))&amp;"",""))</f>
        <v/>
      </c>
      <c r="J702" s="34" t="str">
        <f aca="false">IF(A702="","",IFERROR(INDEX(Items!$C$5:$C$304,MATCH(D702,Items!$A$5:$A$304,0))&amp;"",""))</f>
        <v/>
      </c>
      <c r="K702" s="35" t="n">
        <f aca="false">IF(A702="",0,IF(ISNUMBER(F702),F702,IFERROR(INDEX(Items!$D$5:$D$304,MATCH(D702,Items!$A$5:$A$304,0)),0)))</f>
        <v>0</v>
      </c>
      <c r="L702" s="35" t="n">
        <f aca="false">ROUND(N(E702)*K702*(1-N(G702)),2)</f>
        <v>0</v>
      </c>
      <c r="M702" s="36" t="n">
        <f aca="false">IF(A702="",0,IFERROR(INDEX(Items!$E$5:$E$304,MATCH(D702,Items!$A$5:$A$304,0)),0))</f>
        <v>0</v>
      </c>
      <c r="N702" s="37" t="str">
        <f aca="false">IF(A702="","",IFERROR(INDEX(Customers!$E$5:$E$204,MATCH(C702,Customers!$A$5:$A$204,0)),"?"))</f>
        <v/>
      </c>
      <c r="O702" s="38" t="str">
        <f aca="false">IF(A702="","",IF(N702=Settings!$B$17,"No","Yes"))</f>
        <v/>
      </c>
      <c r="P702" s="35" t="n">
        <f aca="false">IF(O702="Yes",ROUND(L702*M702,2),0)</f>
        <v>0</v>
      </c>
      <c r="Q702" s="35" t="n">
        <f aca="false">IF(O702="No",ROUND(L702*M702/2,2),0)</f>
        <v>0</v>
      </c>
      <c r="R702" s="35" t="n">
        <f aca="false">Q702</f>
        <v>0</v>
      </c>
      <c r="S702" s="35" t="n">
        <f aca="false">L702+P702+Q702+R702</f>
        <v>0</v>
      </c>
      <c r="T702" s="34" t="str">
        <f aca="false">IF(A702="","",IFERROR(INDEX(Customers!$B$5:$B$204,MATCH(C702,Customers!$A$5:$A$204,0))&amp;"",""))</f>
        <v/>
      </c>
      <c r="U702" s="38" t="str">
        <f aca="false">IF(A702="","",IF(T702&lt;&gt;"","B2B",IF(AND(O702="Yes",SUMIF($A$5:$A$1004,A702,$L$5:$L$1004)+SUMIF($A$5:$A$1004,A702,$P$5:$P$1004)&gt;100000),"B2CL","B2CS")))</f>
        <v/>
      </c>
      <c r="V702" s="17" t="str">
        <f aca="false">IF(A702="","",TEXT(B702,"mmm-yyyy"))</f>
        <v/>
      </c>
    </row>
    <row r="703" customFormat="false" ht="15" hidden="false" customHeight="true" outlineLevel="0" collapsed="false">
      <c r="A703" s="24"/>
      <c r="B703" s="39"/>
      <c r="C703" s="24"/>
      <c r="D703" s="24"/>
      <c r="E703" s="40"/>
      <c r="F703" s="29"/>
      <c r="G703" s="30"/>
      <c r="H703" s="17" t="str">
        <f aca="false">IF(A703="","",A703&amp;"|"&amp;COUNTIF(A$5:A703,A703))</f>
        <v/>
      </c>
      <c r="I703" s="33" t="str">
        <f aca="false">IF(A703="","",IFERROR(INDEX(Items!$B$5:$B$304,MATCH(D703,Items!$A$5:$A$304,0))&amp;"",""))</f>
        <v/>
      </c>
      <c r="J703" s="34" t="str">
        <f aca="false">IF(A703="","",IFERROR(INDEX(Items!$C$5:$C$304,MATCH(D703,Items!$A$5:$A$304,0))&amp;"",""))</f>
        <v/>
      </c>
      <c r="K703" s="35" t="n">
        <f aca="false">IF(A703="",0,IF(ISNUMBER(F703),F703,IFERROR(INDEX(Items!$D$5:$D$304,MATCH(D703,Items!$A$5:$A$304,0)),0)))</f>
        <v>0</v>
      </c>
      <c r="L703" s="35" t="n">
        <f aca="false">ROUND(N(E703)*K703*(1-N(G703)),2)</f>
        <v>0</v>
      </c>
      <c r="M703" s="36" t="n">
        <f aca="false">IF(A703="",0,IFERROR(INDEX(Items!$E$5:$E$304,MATCH(D703,Items!$A$5:$A$304,0)),0))</f>
        <v>0</v>
      </c>
      <c r="N703" s="37" t="str">
        <f aca="false">IF(A703="","",IFERROR(INDEX(Customers!$E$5:$E$204,MATCH(C703,Customers!$A$5:$A$204,0)),"?"))</f>
        <v/>
      </c>
      <c r="O703" s="38" t="str">
        <f aca="false">IF(A703="","",IF(N703=Settings!$B$17,"No","Yes"))</f>
        <v/>
      </c>
      <c r="P703" s="35" t="n">
        <f aca="false">IF(O703="Yes",ROUND(L703*M703,2),0)</f>
        <v>0</v>
      </c>
      <c r="Q703" s="35" t="n">
        <f aca="false">IF(O703="No",ROUND(L703*M703/2,2),0)</f>
        <v>0</v>
      </c>
      <c r="R703" s="35" t="n">
        <f aca="false">Q703</f>
        <v>0</v>
      </c>
      <c r="S703" s="35" t="n">
        <f aca="false">L703+P703+Q703+R703</f>
        <v>0</v>
      </c>
      <c r="T703" s="34" t="str">
        <f aca="false">IF(A703="","",IFERROR(INDEX(Customers!$B$5:$B$204,MATCH(C703,Customers!$A$5:$A$204,0))&amp;"",""))</f>
        <v/>
      </c>
      <c r="U703" s="38" t="str">
        <f aca="false">IF(A703="","",IF(T703&lt;&gt;"","B2B",IF(AND(O703="Yes",SUMIF($A$5:$A$1004,A703,$L$5:$L$1004)+SUMIF($A$5:$A$1004,A703,$P$5:$P$1004)&gt;100000),"B2CL","B2CS")))</f>
        <v/>
      </c>
      <c r="V703" s="17" t="str">
        <f aca="false">IF(A703="","",TEXT(B703,"mmm-yyyy"))</f>
        <v/>
      </c>
    </row>
    <row r="704" customFormat="false" ht="15" hidden="false" customHeight="true" outlineLevel="0" collapsed="false">
      <c r="A704" s="24"/>
      <c r="B704" s="39"/>
      <c r="C704" s="24"/>
      <c r="D704" s="24"/>
      <c r="E704" s="40"/>
      <c r="F704" s="29"/>
      <c r="G704" s="30"/>
      <c r="H704" s="17" t="str">
        <f aca="false">IF(A704="","",A704&amp;"|"&amp;COUNTIF(A$5:A704,A704))</f>
        <v/>
      </c>
      <c r="I704" s="33" t="str">
        <f aca="false">IF(A704="","",IFERROR(INDEX(Items!$B$5:$B$304,MATCH(D704,Items!$A$5:$A$304,0))&amp;"",""))</f>
        <v/>
      </c>
      <c r="J704" s="34" t="str">
        <f aca="false">IF(A704="","",IFERROR(INDEX(Items!$C$5:$C$304,MATCH(D704,Items!$A$5:$A$304,0))&amp;"",""))</f>
        <v/>
      </c>
      <c r="K704" s="35" t="n">
        <f aca="false">IF(A704="",0,IF(ISNUMBER(F704),F704,IFERROR(INDEX(Items!$D$5:$D$304,MATCH(D704,Items!$A$5:$A$304,0)),0)))</f>
        <v>0</v>
      </c>
      <c r="L704" s="35" t="n">
        <f aca="false">ROUND(N(E704)*K704*(1-N(G704)),2)</f>
        <v>0</v>
      </c>
      <c r="M704" s="36" t="n">
        <f aca="false">IF(A704="",0,IFERROR(INDEX(Items!$E$5:$E$304,MATCH(D704,Items!$A$5:$A$304,0)),0))</f>
        <v>0</v>
      </c>
      <c r="N704" s="37" t="str">
        <f aca="false">IF(A704="","",IFERROR(INDEX(Customers!$E$5:$E$204,MATCH(C704,Customers!$A$5:$A$204,0)),"?"))</f>
        <v/>
      </c>
      <c r="O704" s="38" t="str">
        <f aca="false">IF(A704="","",IF(N704=Settings!$B$17,"No","Yes"))</f>
        <v/>
      </c>
      <c r="P704" s="35" t="n">
        <f aca="false">IF(O704="Yes",ROUND(L704*M704,2),0)</f>
        <v>0</v>
      </c>
      <c r="Q704" s="35" t="n">
        <f aca="false">IF(O704="No",ROUND(L704*M704/2,2),0)</f>
        <v>0</v>
      </c>
      <c r="R704" s="35" t="n">
        <f aca="false">Q704</f>
        <v>0</v>
      </c>
      <c r="S704" s="35" t="n">
        <f aca="false">L704+P704+Q704+R704</f>
        <v>0</v>
      </c>
      <c r="T704" s="34" t="str">
        <f aca="false">IF(A704="","",IFERROR(INDEX(Customers!$B$5:$B$204,MATCH(C704,Customers!$A$5:$A$204,0))&amp;"",""))</f>
        <v/>
      </c>
      <c r="U704" s="38" t="str">
        <f aca="false">IF(A704="","",IF(T704&lt;&gt;"","B2B",IF(AND(O704="Yes",SUMIF($A$5:$A$1004,A704,$L$5:$L$1004)+SUMIF($A$5:$A$1004,A704,$P$5:$P$1004)&gt;100000),"B2CL","B2CS")))</f>
        <v/>
      </c>
      <c r="V704" s="17" t="str">
        <f aca="false">IF(A704="","",TEXT(B704,"mmm-yyyy"))</f>
        <v/>
      </c>
    </row>
    <row r="705" customFormat="false" ht="15" hidden="false" customHeight="true" outlineLevel="0" collapsed="false">
      <c r="A705" s="24"/>
      <c r="B705" s="39"/>
      <c r="C705" s="24"/>
      <c r="D705" s="24"/>
      <c r="E705" s="40"/>
      <c r="F705" s="29"/>
      <c r="G705" s="30"/>
      <c r="H705" s="17" t="str">
        <f aca="false">IF(A705="","",A705&amp;"|"&amp;COUNTIF(A$5:A705,A705))</f>
        <v/>
      </c>
      <c r="I705" s="33" t="str">
        <f aca="false">IF(A705="","",IFERROR(INDEX(Items!$B$5:$B$304,MATCH(D705,Items!$A$5:$A$304,0))&amp;"",""))</f>
        <v/>
      </c>
      <c r="J705" s="34" t="str">
        <f aca="false">IF(A705="","",IFERROR(INDEX(Items!$C$5:$C$304,MATCH(D705,Items!$A$5:$A$304,0))&amp;"",""))</f>
        <v/>
      </c>
      <c r="K705" s="35" t="n">
        <f aca="false">IF(A705="",0,IF(ISNUMBER(F705),F705,IFERROR(INDEX(Items!$D$5:$D$304,MATCH(D705,Items!$A$5:$A$304,0)),0)))</f>
        <v>0</v>
      </c>
      <c r="L705" s="35" t="n">
        <f aca="false">ROUND(N(E705)*K705*(1-N(G705)),2)</f>
        <v>0</v>
      </c>
      <c r="M705" s="36" t="n">
        <f aca="false">IF(A705="",0,IFERROR(INDEX(Items!$E$5:$E$304,MATCH(D705,Items!$A$5:$A$304,0)),0))</f>
        <v>0</v>
      </c>
      <c r="N705" s="37" t="str">
        <f aca="false">IF(A705="","",IFERROR(INDEX(Customers!$E$5:$E$204,MATCH(C705,Customers!$A$5:$A$204,0)),"?"))</f>
        <v/>
      </c>
      <c r="O705" s="38" t="str">
        <f aca="false">IF(A705="","",IF(N705=Settings!$B$17,"No","Yes"))</f>
        <v/>
      </c>
      <c r="P705" s="35" t="n">
        <f aca="false">IF(O705="Yes",ROUND(L705*M705,2),0)</f>
        <v>0</v>
      </c>
      <c r="Q705" s="35" t="n">
        <f aca="false">IF(O705="No",ROUND(L705*M705/2,2),0)</f>
        <v>0</v>
      </c>
      <c r="R705" s="35" t="n">
        <f aca="false">Q705</f>
        <v>0</v>
      </c>
      <c r="S705" s="35" t="n">
        <f aca="false">L705+P705+Q705+R705</f>
        <v>0</v>
      </c>
      <c r="T705" s="34" t="str">
        <f aca="false">IF(A705="","",IFERROR(INDEX(Customers!$B$5:$B$204,MATCH(C705,Customers!$A$5:$A$204,0))&amp;"",""))</f>
        <v/>
      </c>
      <c r="U705" s="38" t="str">
        <f aca="false">IF(A705="","",IF(T705&lt;&gt;"","B2B",IF(AND(O705="Yes",SUMIF($A$5:$A$1004,A705,$L$5:$L$1004)+SUMIF($A$5:$A$1004,A705,$P$5:$P$1004)&gt;100000),"B2CL","B2CS")))</f>
        <v/>
      </c>
      <c r="V705" s="17" t="str">
        <f aca="false">IF(A705="","",TEXT(B705,"mmm-yyyy"))</f>
        <v/>
      </c>
    </row>
    <row r="706" customFormat="false" ht="15" hidden="false" customHeight="true" outlineLevel="0" collapsed="false">
      <c r="A706" s="24"/>
      <c r="B706" s="39"/>
      <c r="C706" s="24"/>
      <c r="D706" s="24"/>
      <c r="E706" s="40"/>
      <c r="F706" s="29"/>
      <c r="G706" s="30"/>
      <c r="H706" s="17" t="str">
        <f aca="false">IF(A706="","",A706&amp;"|"&amp;COUNTIF(A$5:A706,A706))</f>
        <v/>
      </c>
      <c r="I706" s="33" t="str">
        <f aca="false">IF(A706="","",IFERROR(INDEX(Items!$B$5:$B$304,MATCH(D706,Items!$A$5:$A$304,0))&amp;"",""))</f>
        <v/>
      </c>
      <c r="J706" s="34" t="str">
        <f aca="false">IF(A706="","",IFERROR(INDEX(Items!$C$5:$C$304,MATCH(D706,Items!$A$5:$A$304,0))&amp;"",""))</f>
        <v/>
      </c>
      <c r="K706" s="35" t="n">
        <f aca="false">IF(A706="",0,IF(ISNUMBER(F706),F706,IFERROR(INDEX(Items!$D$5:$D$304,MATCH(D706,Items!$A$5:$A$304,0)),0)))</f>
        <v>0</v>
      </c>
      <c r="L706" s="35" t="n">
        <f aca="false">ROUND(N(E706)*K706*(1-N(G706)),2)</f>
        <v>0</v>
      </c>
      <c r="M706" s="36" t="n">
        <f aca="false">IF(A706="",0,IFERROR(INDEX(Items!$E$5:$E$304,MATCH(D706,Items!$A$5:$A$304,0)),0))</f>
        <v>0</v>
      </c>
      <c r="N706" s="37" t="str">
        <f aca="false">IF(A706="","",IFERROR(INDEX(Customers!$E$5:$E$204,MATCH(C706,Customers!$A$5:$A$204,0)),"?"))</f>
        <v/>
      </c>
      <c r="O706" s="38" t="str">
        <f aca="false">IF(A706="","",IF(N706=Settings!$B$17,"No","Yes"))</f>
        <v/>
      </c>
      <c r="P706" s="35" t="n">
        <f aca="false">IF(O706="Yes",ROUND(L706*M706,2),0)</f>
        <v>0</v>
      </c>
      <c r="Q706" s="35" t="n">
        <f aca="false">IF(O706="No",ROUND(L706*M706/2,2),0)</f>
        <v>0</v>
      </c>
      <c r="R706" s="35" t="n">
        <f aca="false">Q706</f>
        <v>0</v>
      </c>
      <c r="S706" s="35" t="n">
        <f aca="false">L706+P706+Q706+R706</f>
        <v>0</v>
      </c>
      <c r="T706" s="34" t="str">
        <f aca="false">IF(A706="","",IFERROR(INDEX(Customers!$B$5:$B$204,MATCH(C706,Customers!$A$5:$A$204,0))&amp;"",""))</f>
        <v/>
      </c>
      <c r="U706" s="38" t="str">
        <f aca="false">IF(A706="","",IF(T706&lt;&gt;"","B2B",IF(AND(O706="Yes",SUMIF($A$5:$A$1004,A706,$L$5:$L$1004)+SUMIF($A$5:$A$1004,A706,$P$5:$P$1004)&gt;100000),"B2CL","B2CS")))</f>
        <v/>
      </c>
      <c r="V706" s="17" t="str">
        <f aca="false">IF(A706="","",TEXT(B706,"mmm-yyyy"))</f>
        <v/>
      </c>
    </row>
    <row r="707" customFormat="false" ht="15" hidden="false" customHeight="true" outlineLevel="0" collapsed="false">
      <c r="A707" s="24"/>
      <c r="B707" s="39"/>
      <c r="C707" s="24"/>
      <c r="D707" s="24"/>
      <c r="E707" s="40"/>
      <c r="F707" s="29"/>
      <c r="G707" s="30"/>
      <c r="H707" s="17" t="str">
        <f aca="false">IF(A707="","",A707&amp;"|"&amp;COUNTIF(A$5:A707,A707))</f>
        <v/>
      </c>
      <c r="I707" s="33" t="str">
        <f aca="false">IF(A707="","",IFERROR(INDEX(Items!$B$5:$B$304,MATCH(D707,Items!$A$5:$A$304,0))&amp;"",""))</f>
        <v/>
      </c>
      <c r="J707" s="34" t="str">
        <f aca="false">IF(A707="","",IFERROR(INDEX(Items!$C$5:$C$304,MATCH(D707,Items!$A$5:$A$304,0))&amp;"",""))</f>
        <v/>
      </c>
      <c r="K707" s="35" t="n">
        <f aca="false">IF(A707="",0,IF(ISNUMBER(F707),F707,IFERROR(INDEX(Items!$D$5:$D$304,MATCH(D707,Items!$A$5:$A$304,0)),0)))</f>
        <v>0</v>
      </c>
      <c r="L707" s="35" t="n">
        <f aca="false">ROUND(N(E707)*K707*(1-N(G707)),2)</f>
        <v>0</v>
      </c>
      <c r="M707" s="36" t="n">
        <f aca="false">IF(A707="",0,IFERROR(INDEX(Items!$E$5:$E$304,MATCH(D707,Items!$A$5:$A$304,0)),0))</f>
        <v>0</v>
      </c>
      <c r="N707" s="37" t="str">
        <f aca="false">IF(A707="","",IFERROR(INDEX(Customers!$E$5:$E$204,MATCH(C707,Customers!$A$5:$A$204,0)),"?"))</f>
        <v/>
      </c>
      <c r="O707" s="38" t="str">
        <f aca="false">IF(A707="","",IF(N707=Settings!$B$17,"No","Yes"))</f>
        <v/>
      </c>
      <c r="P707" s="35" t="n">
        <f aca="false">IF(O707="Yes",ROUND(L707*M707,2),0)</f>
        <v>0</v>
      </c>
      <c r="Q707" s="35" t="n">
        <f aca="false">IF(O707="No",ROUND(L707*M707/2,2),0)</f>
        <v>0</v>
      </c>
      <c r="R707" s="35" t="n">
        <f aca="false">Q707</f>
        <v>0</v>
      </c>
      <c r="S707" s="35" t="n">
        <f aca="false">L707+P707+Q707+R707</f>
        <v>0</v>
      </c>
      <c r="T707" s="34" t="str">
        <f aca="false">IF(A707="","",IFERROR(INDEX(Customers!$B$5:$B$204,MATCH(C707,Customers!$A$5:$A$204,0))&amp;"",""))</f>
        <v/>
      </c>
      <c r="U707" s="38" t="str">
        <f aca="false">IF(A707="","",IF(T707&lt;&gt;"","B2B",IF(AND(O707="Yes",SUMIF($A$5:$A$1004,A707,$L$5:$L$1004)+SUMIF($A$5:$A$1004,A707,$P$5:$P$1004)&gt;100000),"B2CL","B2CS")))</f>
        <v/>
      </c>
      <c r="V707" s="17" t="str">
        <f aca="false">IF(A707="","",TEXT(B707,"mmm-yyyy"))</f>
        <v/>
      </c>
    </row>
    <row r="708" customFormat="false" ht="15" hidden="false" customHeight="true" outlineLevel="0" collapsed="false">
      <c r="A708" s="24"/>
      <c r="B708" s="39"/>
      <c r="C708" s="24"/>
      <c r="D708" s="24"/>
      <c r="E708" s="40"/>
      <c r="F708" s="29"/>
      <c r="G708" s="30"/>
      <c r="H708" s="17" t="str">
        <f aca="false">IF(A708="","",A708&amp;"|"&amp;COUNTIF(A$5:A708,A708))</f>
        <v/>
      </c>
      <c r="I708" s="33" t="str">
        <f aca="false">IF(A708="","",IFERROR(INDEX(Items!$B$5:$B$304,MATCH(D708,Items!$A$5:$A$304,0))&amp;"",""))</f>
        <v/>
      </c>
      <c r="J708" s="34" t="str">
        <f aca="false">IF(A708="","",IFERROR(INDEX(Items!$C$5:$C$304,MATCH(D708,Items!$A$5:$A$304,0))&amp;"",""))</f>
        <v/>
      </c>
      <c r="K708" s="35" t="n">
        <f aca="false">IF(A708="",0,IF(ISNUMBER(F708),F708,IFERROR(INDEX(Items!$D$5:$D$304,MATCH(D708,Items!$A$5:$A$304,0)),0)))</f>
        <v>0</v>
      </c>
      <c r="L708" s="35" t="n">
        <f aca="false">ROUND(N(E708)*K708*(1-N(G708)),2)</f>
        <v>0</v>
      </c>
      <c r="M708" s="36" t="n">
        <f aca="false">IF(A708="",0,IFERROR(INDEX(Items!$E$5:$E$304,MATCH(D708,Items!$A$5:$A$304,0)),0))</f>
        <v>0</v>
      </c>
      <c r="N708" s="37" t="str">
        <f aca="false">IF(A708="","",IFERROR(INDEX(Customers!$E$5:$E$204,MATCH(C708,Customers!$A$5:$A$204,0)),"?"))</f>
        <v/>
      </c>
      <c r="O708" s="38" t="str">
        <f aca="false">IF(A708="","",IF(N708=Settings!$B$17,"No","Yes"))</f>
        <v/>
      </c>
      <c r="P708" s="35" t="n">
        <f aca="false">IF(O708="Yes",ROUND(L708*M708,2),0)</f>
        <v>0</v>
      </c>
      <c r="Q708" s="35" t="n">
        <f aca="false">IF(O708="No",ROUND(L708*M708/2,2),0)</f>
        <v>0</v>
      </c>
      <c r="R708" s="35" t="n">
        <f aca="false">Q708</f>
        <v>0</v>
      </c>
      <c r="S708" s="35" t="n">
        <f aca="false">L708+P708+Q708+R708</f>
        <v>0</v>
      </c>
      <c r="T708" s="34" t="str">
        <f aca="false">IF(A708="","",IFERROR(INDEX(Customers!$B$5:$B$204,MATCH(C708,Customers!$A$5:$A$204,0))&amp;"",""))</f>
        <v/>
      </c>
      <c r="U708" s="38" t="str">
        <f aca="false">IF(A708="","",IF(T708&lt;&gt;"","B2B",IF(AND(O708="Yes",SUMIF($A$5:$A$1004,A708,$L$5:$L$1004)+SUMIF($A$5:$A$1004,A708,$P$5:$P$1004)&gt;100000),"B2CL","B2CS")))</f>
        <v/>
      </c>
      <c r="V708" s="17" t="str">
        <f aca="false">IF(A708="","",TEXT(B708,"mmm-yyyy"))</f>
        <v/>
      </c>
    </row>
    <row r="709" customFormat="false" ht="15" hidden="false" customHeight="true" outlineLevel="0" collapsed="false">
      <c r="A709" s="24"/>
      <c r="B709" s="39"/>
      <c r="C709" s="24"/>
      <c r="D709" s="24"/>
      <c r="E709" s="40"/>
      <c r="F709" s="29"/>
      <c r="G709" s="30"/>
      <c r="H709" s="17" t="str">
        <f aca="false">IF(A709="","",A709&amp;"|"&amp;COUNTIF(A$5:A709,A709))</f>
        <v/>
      </c>
      <c r="I709" s="33" t="str">
        <f aca="false">IF(A709="","",IFERROR(INDEX(Items!$B$5:$B$304,MATCH(D709,Items!$A$5:$A$304,0))&amp;"",""))</f>
        <v/>
      </c>
      <c r="J709" s="34" t="str">
        <f aca="false">IF(A709="","",IFERROR(INDEX(Items!$C$5:$C$304,MATCH(D709,Items!$A$5:$A$304,0))&amp;"",""))</f>
        <v/>
      </c>
      <c r="K709" s="35" t="n">
        <f aca="false">IF(A709="",0,IF(ISNUMBER(F709),F709,IFERROR(INDEX(Items!$D$5:$D$304,MATCH(D709,Items!$A$5:$A$304,0)),0)))</f>
        <v>0</v>
      </c>
      <c r="L709" s="35" t="n">
        <f aca="false">ROUND(N(E709)*K709*(1-N(G709)),2)</f>
        <v>0</v>
      </c>
      <c r="M709" s="36" t="n">
        <f aca="false">IF(A709="",0,IFERROR(INDEX(Items!$E$5:$E$304,MATCH(D709,Items!$A$5:$A$304,0)),0))</f>
        <v>0</v>
      </c>
      <c r="N709" s="37" t="str">
        <f aca="false">IF(A709="","",IFERROR(INDEX(Customers!$E$5:$E$204,MATCH(C709,Customers!$A$5:$A$204,0)),"?"))</f>
        <v/>
      </c>
      <c r="O709" s="38" t="str">
        <f aca="false">IF(A709="","",IF(N709=Settings!$B$17,"No","Yes"))</f>
        <v/>
      </c>
      <c r="P709" s="35" t="n">
        <f aca="false">IF(O709="Yes",ROUND(L709*M709,2),0)</f>
        <v>0</v>
      </c>
      <c r="Q709" s="35" t="n">
        <f aca="false">IF(O709="No",ROUND(L709*M709/2,2),0)</f>
        <v>0</v>
      </c>
      <c r="R709" s="35" t="n">
        <f aca="false">Q709</f>
        <v>0</v>
      </c>
      <c r="S709" s="35" t="n">
        <f aca="false">L709+P709+Q709+R709</f>
        <v>0</v>
      </c>
      <c r="T709" s="34" t="str">
        <f aca="false">IF(A709="","",IFERROR(INDEX(Customers!$B$5:$B$204,MATCH(C709,Customers!$A$5:$A$204,0))&amp;"",""))</f>
        <v/>
      </c>
      <c r="U709" s="38" t="str">
        <f aca="false">IF(A709="","",IF(T709&lt;&gt;"","B2B",IF(AND(O709="Yes",SUMIF($A$5:$A$1004,A709,$L$5:$L$1004)+SUMIF($A$5:$A$1004,A709,$P$5:$P$1004)&gt;100000),"B2CL","B2CS")))</f>
        <v/>
      </c>
      <c r="V709" s="17" t="str">
        <f aca="false">IF(A709="","",TEXT(B709,"mmm-yyyy"))</f>
        <v/>
      </c>
    </row>
    <row r="710" customFormat="false" ht="15" hidden="false" customHeight="true" outlineLevel="0" collapsed="false">
      <c r="A710" s="24"/>
      <c r="B710" s="39"/>
      <c r="C710" s="24"/>
      <c r="D710" s="24"/>
      <c r="E710" s="40"/>
      <c r="F710" s="29"/>
      <c r="G710" s="30"/>
      <c r="H710" s="17" t="str">
        <f aca="false">IF(A710="","",A710&amp;"|"&amp;COUNTIF(A$5:A710,A710))</f>
        <v/>
      </c>
      <c r="I710" s="33" t="str">
        <f aca="false">IF(A710="","",IFERROR(INDEX(Items!$B$5:$B$304,MATCH(D710,Items!$A$5:$A$304,0))&amp;"",""))</f>
        <v/>
      </c>
      <c r="J710" s="34" t="str">
        <f aca="false">IF(A710="","",IFERROR(INDEX(Items!$C$5:$C$304,MATCH(D710,Items!$A$5:$A$304,0))&amp;"",""))</f>
        <v/>
      </c>
      <c r="K710" s="35" t="n">
        <f aca="false">IF(A710="",0,IF(ISNUMBER(F710),F710,IFERROR(INDEX(Items!$D$5:$D$304,MATCH(D710,Items!$A$5:$A$304,0)),0)))</f>
        <v>0</v>
      </c>
      <c r="L710" s="35" t="n">
        <f aca="false">ROUND(N(E710)*K710*(1-N(G710)),2)</f>
        <v>0</v>
      </c>
      <c r="M710" s="36" t="n">
        <f aca="false">IF(A710="",0,IFERROR(INDEX(Items!$E$5:$E$304,MATCH(D710,Items!$A$5:$A$304,0)),0))</f>
        <v>0</v>
      </c>
      <c r="N710" s="37" t="str">
        <f aca="false">IF(A710="","",IFERROR(INDEX(Customers!$E$5:$E$204,MATCH(C710,Customers!$A$5:$A$204,0)),"?"))</f>
        <v/>
      </c>
      <c r="O710" s="38" t="str">
        <f aca="false">IF(A710="","",IF(N710=Settings!$B$17,"No","Yes"))</f>
        <v/>
      </c>
      <c r="P710" s="35" t="n">
        <f aca="false">IF(O710="Yes",ROUND(L710*M710,2),0)</f>
        <v>0</v>
      </c>
      <c r="Q710" s="35" t="n">
        <f aca="false">IF(O710="No",ROUND(L710*M710/2,2),0)</f>
        <v>0</v>
      </c>
      <c r="R710" s="35" t="n">
        <f aca="false">Q710</f>
        <v>0</v>
      </c>
      <c r="S710" s="35" t="n">
        <f aca="false">L710+P710+Q710+R710</f>
        <v>0</v>
      </c>
      <c r="T710" s="34" t="str">
        <f aca="false">IF(A710="","",IFERROR(INDEX(Customers!$B$5:$B$204,MATCH(C710,Customers!$A$5:$A$204,0))&amp;"",""))</f>
        <v/>
      </c>
      <c r="U710" s="38" t="str">
        <f aca="false">IF(A710="","",IF(T710&lt;&gt;"","B2B",IF(AND(O710="Yes",SUMIF($A$5:$A$1004,A710,$L$5:$L$1004)+SUMIF($A$5:$A$1004,A710,$P$5:$P$1004)&gt;100000),"B2CL","B2CS")))</f>
        <v/>
      </c>
      <c r="V710" s="17" t="str">
        <f aca="false">IF(A710="","",TEXT(B710,"mmm-yyyy"))</f>
        <v/>
      </c>
    </row>
    <row r="711" customFormat="false" ht="15" hidden="false" customHeight="true" outlineLevel="0" collapsed="false">
      <c r="A711" s="24"/>
      <c r="B711" s="39"/>
      <c r="C711" s="24"/>
      <c r="D711" s="24"/>
      <c r="E711" s="40"/>
      <c r="F711" s="29"/>
      <c r="G711" s="30"/>
      <c r="H711" s="17" t="str">
        <f aca="false">IF(A711="","",A711&amp;"|"&amp;COUNTIF(A$5:A711,A711))</f>
        <v/>
      </c>
      <c r="I711" s="33" t="str">
        <f aca="false">IF(A711="","",IFERROR(INDEX(Items!$B$5:$B$304,MATCH(D711,Items!$A$5:$A$304,0))&amp;"",""))</f>
        <v/>
      </c>
      <c r="J711" s="34" t="str">
        <f aca="false">IF(A711="","",IFERROR(INDEX(Items!$C$5:$C$304,MATCH(D711,Items!$A$5:$A$304,0))&amp;"",""))</f>
        <v/>
      </c>
      <c r="K711" s="35" t="n">
        <f aca="false">IF(A711="",0,IF(ISNUMBER(F711),F711,IFERROR(INDEX(Items!$D$5:$D$304,MATCH(D711,Items!$A$5:$A$304,0)),0)))</f>
        <v>0</v>
      </c>
      <c r="L711" s="35" t="n">
        <f aca="false">ROUND(N(E711)*K711*(1-N(G711)),2)</f>
        <v>0</v>
      </c>
      <c r="M711" s="36" t="n">
        <f aca="false">IF(A711="",0,IFERROR(INDEX(Items!$E$5:$E$304,MATCH(D711,Items!$A$5:$A$304,0)),0))</f>
        <v>0</v>
      </c>
      <c r="N711" s="37" t="str">
        <f aca="false">IF(A711="","",IFERROR(INDEX(Customers!$E$5:$E$204,MATCH(C711,Customers!$A$5:$A$204,0)),"?"))</f>
        <v/>
      </c>
      <c r="O711" s="38" t="str">
        <f aca="false">IF(A711="","",IF(N711=Settings!$B$17,"No","Yes"))</f>
        <v/>
      </c>
      <c r="P711" s="35" t="n">
        <f aca="false">IF(O711="Yes",ROUND(L711*M711,2),0)</f>
        <v>0</v>
      </c>
      <c r="Q711" s="35" t="n">
        <f aca="false">IF(O711="No",ROUND(L711*M711/2,2),0)</f>
        <v>0</v>
      </c>
      <c r="R711" s="35" t="n">
        <f aca="false">Q711</f>
        <v>0</v>
      </c>
      <c r="S711" s="35" t="n">
        <f aca="false">L711+P711+Q711+R711</f>
        <v>0</v>
      </c>
      <c r="T711" s="34" t="str">
        <f aca="false">IF(A711="","",IFERROR(INDEX(Customers!$B$5:$B$204,MATCH(C711,Customers!$A$5:$A$204,0))&amp;"",""))</f>
        <v/>
      </c>
      <c r="U711" s="38" t="str">
        <f aca="false">IF(A711="","",IF(T711&lt;&gt;"","B2B",IF(AND(O711="Yes",SUMIF($A$5:$A$1004,A711,$L$5:$L$1004)+SUMIF($A$5:$A$1004,A711,$P$5:$P$1004)&gt;100000),"B2CL","B2CS")))</f>
        <v/>
      </c>
      <c r="V711" s="17" t="str">
        <f aca="false">IF(A711="","",TEXT(B711,"mmm-yyyy"))</f>
        <v/>
      </c>
    </row>
    <row r="712" customFormat="false" ht="15" hidden="false" customHeight="true" outlineLevel="0" collapsed="false">
      <c r="A712" s="24"/>
      <c r="B712" s="39"/>
      <c r="C712" s="24"/>
      <c r="D712" s="24"/>
      <c r="E712" s="40"/>
      <c r="F712" s="29"/>
      <c r="G712" s="30"/>
      <c r="H712" s="17" t="str">
        <f aca="false">IF(A712="","",A712&amp;"|"&amp;COUNTIF(A$5:A712,A712))</f>
        <v/>
      </c>
      <c r="I712" s="33" t="str">
        <f aca="false">IF(A712="","",IFERROR(INDEX(Items!$B$5:$B$304,MATCH(D712,Items!$A$5:$A$304,0))&amp;"",""))</f>
        <v/>
      </c>
      <c r="J712" s="34" t="str">
        <f aca="false">IF(A712="","",IFERROR(INDEX(Items!$C$5:$C$304,MATCH(D712,Items!$A$5:$A$304,0))&amp;"",""))</f>
        <v/>
      </c>
      <c r="K712" s="35" t="n">
        <f aca="false">IF(A712="",0,IF(ISNUMBER(F712),F712,IFERROR(INDEX(Items!$D$5:$D$304,MATCH(D712,Items!$A$5:$A$304,0)),0)))</f>
        <v>0</v>
      </c>
      <c r="L712" s="35" t="n">
        <f aca="false">ROUND(N(E712)*K712*(1-N(G712)),2)</f>
        <v>0</v>
      </c>
      <c r="M712" s="36" t="n">
        <f aca="false">IF(A712="",0,IFERROR(INDEX(Items!$E$5:$E$304,MATCH(D712,Items!$A$5:$A$304,0)),0))</f>
        <v>0</v>
      </c>
      <c r="N712" s="37" t="str">
        <f aca="false">IF(A712="","",IFERROR(INDEX(Customers!$E$5:$E$204,MATCH(C712,Customers!$A$5:$A$204,0)),"?"))</f>
        <v/>
      </c>
      <c r="O712" s="38" t="str">
        <f aca="false">IF(A712="","",IF(N712=Settings!$B$17,"No","Yes"))</f>
        <v/>
      </c>
      <c r="P712" s="35" t="n">
        <f aca="false">IF(O712="Yes",ROUND(L712*M712,2),0)</f>
        <v>0</v>
      </c>
      <c r="Q712" s="35" t="n">
        <f aca="false">IF(O712="No",ROUND(L712*M712/2,2),0)</f>
        <v>0</v>
      </c>
      <c r="R712" s="35" t="n">
        <f aca="false">Q712</f>
        <v>0</v>
      </c>
      <c r="S712" s="35" t="n">
        <f aca="false">L712+P712+Q712+R712</f>
        <v>0</v>
      </c>
      <c r="T712" s="34" t="str">
        <f aca="false">IF(A712="","",IFERROR(INDEX(Customers!$B$5:$B$204,MATCH(C712,Customers!$A$5:$A$204,0))&amp;"",""))</f>
        <v/>
      </c>
      <c r="U712" s="38" t="str">
        <f aca="false">IF(A712="","",IF(T712&lt;&gt;"","B2B",IF(AND(O712="Yes",SUMIF($A$5:$A$1004,A712,$L$5:$L$1004)+SUMIF($A$5:$A$1004,A712,$P$5:$P$1004)&gt;100000),"B2CL","B2CS")))</f>
        <v/>
      </c>
      <c r="V712" s="17" t="str">
        <f aca="false">IF(A712="","",TEXT(B712,"mmm-yyyy"))</f>
        <v/>
      </c>
    </row>
    <row r="713" customFormat="false" ht="15" hidden="false" customHeight="true" outlineLevel="0" collapsed="false">
      <c r="A713" s="24"/>
      <c r="B713" s="39"/>
      <c r="C713" s="24"/>
      <c r="D713" s="24"/>
      <c r="E713" s="40"/>
      <c r="F713" s="29"/>
      <c r="G713" s="30"/>
      <c r="H713" s="17" t="str">
        <f aca="false">IF(A713="","",A713&amp;"|"&amp;COUNTIF(A$5:A713,A713))</f>
        <v/>
      </c>
      <c r="I713" s="33" t="str">
        <f aca="false">IF(A713="","",IFERROR(INDEX(Items!$B$5:$B$304,MATCH(D713,Items!$A$5:$A$304,0))&amp;"",""))</f>
        <v/>
      </c>
      <c r="J713" s="34" t="str">
        <f aca="false">IF(A713="","",IFERROR(INDEX(Items!$C$5:$C$304,MATCH(D713,Items!$A$5:$A$304,0))&amp;"",""))</f>
        <v/>
      </c>
      <c r="K713" s="35" t="n">
        <f aca="false">IF(A713="",0,IF(ISNUMBER(F713),F713,IFERROR(INDEX(Items!$D$5:$D$304,MATCH(D713,Items!$A$5:$A$304,0)),0)))</f>
        <v>0</v>
      </c>
      <c r="L713" s="35" t="n">
        <f aca="false">ROUND(N(E713)*K713*(1-N(G713)),2)</f>
        <v>0</v>
      </c>
      <c r="M713" s="36" t="n">
        <f aca="false">IF(A713="",0,IFERROR(INDEX(Items!$E$5:$E$304,MATCH(D713,Items!$A$5:$A$304,0)),0))</f>
        <v>0</v>
      </c>
      <c r="N713" s="37" t="str">
        <f aca="false">IF(A713="","",IFERROR(INDEX(Customers!$E$5:$E$204,MATCH(C713,Customers!$A$5:$A$204,0)),"?"))</f>
        <v/>
      </c>
      <c r="O713" s="38" t="str">
        <f aca="false">IF(A713="","",IF(N713=Settings!$B$17,"No","Yes"))</f>
        <v/>
      </c>
      <c r="P713" s="35" t="n">
        <f aca="false">IF(O713="Yes",ROUND(L713*M713,2),0)</f>
        <v>0</v>
      </c>
      <c r="Q713" s="35" t="n">
        <f aca="false">IF(O713="No",ROUND(L713*M713/2,2),0)</f>
        <v>0</v>
      </c>
      <c r="R713" s="35" t="n">
        <f aca="false">Q713</f>
        <v>0</v>
      </c>
      <c r="S713" s="35" t="n">
        <f aca="false">L713+P713+Q713+R713</f>
        <v>0</v>
      </c>
      <c r="T713" s="34" t="str">
        <f aca="false">IF(A713="","",IFERROR(INDEX(Customers!$B$5:$B$204,MATCH(C713,Customers!$A$5:$A$204,0))&amp;"",""))</f>
        <v/>
      </c>
      <c r="U713" s="38" t="str">
        <f aca="false">IF(A713="","",IF(T713&lt;&gt;"","B2B",IF(AND(O713="Yes",SUMIF($A$5:$A$1004,A713,$L$5:$L$1004)+SUMIF($A$5:$A$1004,A713,$P$5:$P$1004)&gt;100000),"B2CL","B2CS")))</f>
        <v/>
      </c>
      <c r="V713" s="17" t="str">
        <f aca="false">IF(A713="","",TEXT(B713,"mmm-yyyy"))</f>
        <v/>
      </c>
    </row>
    <row r="714" customFormat="false" ht="15" hidden="false" customHeight="true" outlineLevel="0" collapsed="false">
      <c r="A714" s="24"/>
      <c r="B714" s="39"/>
      <c r="C714" s="24"/>
      <c r="D714" s="24"/>
      <c r="E714" s="40"/>
      <c r="F714" s="29"/>
      <c r="G714" s="30"/>
      <c r="H714" s="17" t="str">
        <f aca="false">IF(A714="","",A714&amp;"|"&amp;COUNTIF(A$5:A714,A714))</f>
        <v/>
      </c>
      <c r="I714" s="33" t="str">
        <f aca="false">IF(A714="","",IFERROR(INDEX(Items!$B$5:$B$304,MATCH(D714,Items!$A$5:$A$304,0))&amp;"",""))</f>
        <v/>
      </c>
      <c r="J714" s="34" t="str">
        <f aca="false">IF(A714="","",IFERROR(INDEX(Items!$C$5:$C$304,MATCH(D714,Items!$A$5:$A$304,0))&amp;"",""))</f>
        <v/>
      </c>
      <c r="K714" s="35" t="n">
        <f aca="false">IF(A714="",0,IF(ISNUMBER(F714),F714,IFERROR(INDEX(Items!$D$5:$D$304,MATCH(D714,Items!$A$5:$A$304,0)),0)))</f>
        <v>0</v>
      </c>
      <c r="L714" s="35" t="n">
        <f aca="false">ROUND(N(E714)*K714*(1-N(G714)),2)</f>
        <v>0</v>
      </c>
      <c r="M714" s="36" t="n">
        <f aca="false">IF(A714="",0,IFERROR(INDEX(Items!$E$5:$E$304,MATCH(D714,Items!$A$5:$A$304,0)),0))</f>
        <v>0</v>
      </c>
      <c r="N714" s="37" t="str">
        <f aca="false">IF(A714="","",IFERROR(INDEX(Customers!$E$5:$E$204,MATCH(C714,Customers!$A$5:$A$204,0)),"?"))</f>
        <v/>
      </c>
      <c r="O714" s="38" t="str">
        <f aca="false">IF(A714="","",IF(N714=Settings!$B$17,"No","Yes"))</f>
        <v/>
      </c>
      <c r="P714" s="35" t="n">
        <f aca="false">IF(O714="Yes",ROUND(L714*M714,2),0)</f>
        <v>0</v>
      </c>
      <c r="Q714" s="35" t="n">
        <f aca="false">IF(O714="No",ROUND(L714*M714/2,2),0)</f>
        <v>0</v>
      </c>
      <c r="R714" s="35" t="n">
        <f aca="false">Q714</f>
        <v>0</v>
      </c>
      <c r="S714" s="35" t="n">
        <f aca="false">L714+P714+Q714+R714</f>
        <v>0</v>
      </c>
      <c r="T714" s="34" t="str">
        <f aca="false">IF(A714="","",IFERROR(INDEX(Customers!$B$5:$B$204,MATCH(C714,Customers!$A$5:$A$204,0))&amp;"",""))</f>
        <v/>
      </c>
      <c r="U714" s="38" t="str">
        <f aca="false">IF(A714="","",IF(T714&lt;&gt;"","B2B",IF(AND(O714="Yes",SUMIF($A$5:$A$1004,A714,$L$5:$L$1004)+SUMIF($A$5:$A$1004,A714,$P$5:$P$1004)&gt;100000),"B2CL","B2CS")))</f>
        <v/>
      </c>
      <c r="V714" s="17" t="str">
        <f aca="false">IF(A714="","",TEXT(B714,"mmm-yyyy"))</f>
        <v/>
      </c>
    </row>
    <row r="715" customFormat="false" ht="15" hidden="false" customHeight="true" outlineLevel="0" collapsed="false">
      <c r="A715" s="24"/>
      <c r="B715" s="39"/>
      <c r="C715" s="24"/>
      <c r="D715" s="24"/>
      <c r="E715" s="40"/>
      <c r="F715" s="29"/>
      <c r="G715" s="30"/>
      <c r="H715" s="17" t="str">
        <f aca="false">IF(A715="","",A715&amp;"|"&amp;COUNTIF(A$5:A715,A715))</f>
        <v/>
      </c>
      <c r="I715" s="33" t="str">
        <f aca="false">IF(A715="","",IFERROR(INDEX(Items!$B$5:$B$304,MATCH(D715,Items!$A$5:$A$304,0))&amp;"",""))</f>
        <v/>
      </c>
      <c r="J715" s="34" t="str">
        <f aca="false">IF(A715="","",IFERROR(INDEX(Items!$C$5:$C$304,MATCH(D715,Items!$A$5:$A$304,0))&amp;"",""))</f>
        <v/>
      </c>
      <c r="K715" s="35" t="n">
        <f aca="false">IF(A715="",0,IF(ISNUMBER(F715),F715,IFERROR(INDEX(Items!$D$5:$D$304,MATCH(D715,Items!$A$5:$A$304,0)),0)))</f>
        <v>0</v>
      </c>
      <c r="L715" s="35" t="n">
        <f aca="false">ROUND(N(E715)*K715*(1-N(G715)),2)</f>
        <v>0</v>
      </c>
      <c r="M715" s="36" t="n">
        <f aca="false">IF(A715="",0,IFERROR(INDEX(Items!$E$5:$E$304,MATCH(D715,Items!$A$5:$A$304,0)),0))</f>
        <v>0</v>
      </c>
      <c r="N715" s="37" t="str">
        <f aca="false">IF(A715="","",IFERROR(INDEX(Customers!$E$5:$E$204,MATCH(C715,Customers!$A$5:$A$204,0)),"?"))</f>
        <v/>
      </c>
      <c r="O715" s="38" t="str">
        <f aca="false">IF(A715="","",IF(N715=Settings!$B$17,"No","Yes"))</f>
        <v/>
      </c>
      <c r="P715" s="35" t="n">
        <f aca="false">IF(O715="Yes",ROUND(L715*M715,2),0)</f>
        <v>0</v>
      </c>
      <c r="Q715" s="35" t="n">
        <f aca="false">IF(O715="No",ROUND(L715*M715/2,2),0)</f>
        <v>0</v>
      </c>
      <c r="R715" s="35" t="n">
        <f aca="false">Q715</f>
        <v>0</v>
      </c>
      <c r="S715" s="35" t="n">
        <f aca="false">L715+P715+Q715+R715</f>
        <v>0</v>
      </c>
      <c r="T715" s="34" t="str">
        <f aca="false">IF(A715="","",IFERROR(INDEX(Customers!$B$5:$B$204,MATCH(C715,Customers!$A$5:$A$204,0))&amp;"",""))</f>
        <v/>
      </c>
      <c r="U715" s="38" t="str">
        <f aca="false">IF(A715="","",IF(T715&lt;&gt;"","B2B",IF(AND(O715="Yes",SUMIF($A$5:$A$1004,A715,$L$5:$L$1004)+SUMIF($A$5:$A$1004,A715,$P$5:$P$1004)&gt;100000),"B2CL","B2CS")))</f>
        <v/>
      </c>
      <c r="V715" s="17" t="str">
        <f aca="false">IF(A715="","",TEXT(B715,"mmm-yyyy"))</f>
        <v/>
      </c>
    </row>
    <row r="716" customFormat="false" ht="15" hidden="false" customHeight="true" outlineLevel="0" collapsed="false">
      <c r="A716" s="24"/>
      <c r="B716" s="39"/>
      <c r="C716" s="24"/>
      <c r="D716" s="24"/>
      <c r="E716" s="40"/>
      <c r="F716" s="29"/>
      <c r="G716" s="30"/>
      <c r="H716" s="17" t="str">
        <f aca="false">IF(A716="","",A716&amp;"|"&amp;COUNTIF(A$5:A716,A716))</f>
        <v/>
      </c>
      <c r="I716" s="33" t="str">
        <f aca="false">IF(A716="","",IFERROR(INDEX(Items!$B$5:$B$304,MATCH(D716,Items!$A$5:$A$304,0))&amp;"",""))</f>
        <v/>
      </c>
      <c r="J716" s="34" t="str">
        <f aca="false">IF(A716="","",IFERROR(INDEX(Items!$C$5:$C$304,MATCH(D716,Items!$A$5:$A$304,0))&amp;"",""))</f>
        <v/>
      </c>
      <c r="K716" s="35" t="n">
        <f aca="false">IF(A716="",0,IF(ISNUMBER(F716),F716,IFERROR(INDEX(Items!$D$5:$D$304,MATCH(D716,Items!$A$5:$A$304,0)),0)))</f>
        <v>0</v>
      </c>
      <c r="L716" s="35" t="n">
        <f aca="false">ROUND(N(E716)*K716*(1-N(G716)),2)</f>
        <v>0</v>
      </c>
      <c r="M716" s="36" t="n">
        <f aca="false">IF(A716="",0,IFERROR(INDEX(Items!$E$5:$E$304,MATCH(D716,Items!$A$5:$A$304,0)),0))</f>
        <v>0</v>
      </c>
      <c r="N716" s="37" t="str">
        <f aca="false">IF(A716="","",IFERROR(INDEX(Customers!$E$5:$E$204,MATCH(C716,Customers!$A$5:$A$204,0)),"?"))</f>
        <v/>
      </c>
      <c r="O716" s="38" t="str">
        <f aca="false">IF(A716="","",IF(N716=Settings!$B$17,"No","Yes"))</f>
        <v/>
      </c>
      <c r="P716" s="35" t="n">
        <f aca="false">IF(O716="Yes",ROUND(L716*M716,2),0)</f>
        <v>0</v>
      </c>
      <c r="Q716" s="35" t="n">
        <f aca="false">IF(O716="No",ROUND(L716*M716/2,2),0)</f>
        <v>0</v>
      </c>
      <c r="R716" s="35" t="n">
        <f aca="false">Q716</f>
        <v>0</v>
      </c>
      <c r="S716" s="35" t="n">
        <f aca="false">L716+P716+Q716+R716</f>
        <v>0</v>
      </c>
      <c r="T716" s="34" t="str">
        <f aca="false">IF(A716="","",IFERROR(INDEX(Customers!$B$5:$B$204,MATCH(C716,Customers!$A$5:$A$204,0))&amp;"",""))</f>
        <v/>
      </c>
      <c r="U716" s="38" t="str">
        <f aca="false">IF(A716="","",IF(T716&lt;&gt;"","B2B",IF(AND(O716="Yes",SUMIF($A$5:$A$1004,A716,$L$5:$L$1004)+SUMIF($A$5:$A$1004,A716,$P$5:$P$1004)&gt;100000),"B2CL","B2CS")))</f>
        <v/>
      </c>
      <c r="V716" s="17" t="str">
        <f aca="false">IF(A716="","",TEXT(B716,"mmm-yyyy"))</f>
        <v/>
      </c>
    </row>
    <row r="717" customFormat="false" ht="15" hidden="false" customHeight="true" outlineLevel="0" collapsed="false">
      <c r="A717" s="24"/>
      <c r="B717" s="39"/>
      <c r="C717" s="24"/>
      <c r="D717" s="24"/>
      <c r="E717" s="40"/>
      <c r="F717" s="29"/>
      <c r="G717" s="30"/>
      <c r="H717" s="17" t="str">
        <f aca="false">IF(A717="","",A717&amp;"|"&amp;COUNTIF(A$5:A717,A717))</f>
        <v/>
      </c>
      <c r="I717" s="33" t="str">
        <f aca="false">IF(A717="","",IFERROR(INDEX(Items!$B$5:$B$304,MATCH(D717,Items!$A$5:$A$304,0))&amp;"",""))</f>
        <v/>
      </c>
      <c r="J717" s="34" t="str">
        <f aca="false">IF(A717="","",IFERROR(INDEX(Items!$C$5:$C$304,MATCH(D717,Items!$A$5:$A$304,0))&amp;"",""))</f>
        <v/>
      </c>
      <c r="K717" s="35" t="n">
        <f aca="false">IF(A717="",0,IF(ISNUMBER(F717),F717,IFERROR(INDEX(Items!$D$5:$D$304,MATCH(D717,Items!$A$5:$A$304,0)),0)))</f>
        <v>0</v>
      </c>
      <c r="L717" s="35" t="n">
        <f aca="false">ROUND(N(E717)*K717*(1-N(G717)),2)</f>
        <v>0</v>
      </c>
      <c r="M717" s="36" t="n">
        <f aca="false">IF(A717="",0,IFERROR(INDEX(Items!$E$5:$E$304,MATCH(D717,Items!$A$5:$A$304,0)),0))</f>
        <v>0</v>
      </c>
      <c r="N717" s="37" t="str">
        <f aca="false">IF(A717="","",IFERROR(INDEX(Customers!$E$5:$E$204,MATCH(C717,Customers!$A$5:$A$204,0)),"?"))</f>
        <v/>
      </c>
      <c r="O717" s="38" t="str">
        <f aca="false">IF(A717="","",IF(N717=Settings!$B$17,"No","Yes"))</f>
        <v/>
      </c>
      <c r="P717" s="35" t="n">
        <f aca="false">IF(O717="Yes",ROUND(L717*M717,2),0)</f>
        <v>0</v>
      </c>
      <c r="Q717" s="35" t="n">
        <f aca="false">IF(O717="No",ROUND(L717*M717/2,2),0)</f>
        <v>0</v>
      </c>
      <c r="R717" s="35" t="n">
        <f aca="false">Q717</f>
        <v>0</v>
      </c>
      <c r="S717" s="35" t="n">
        <f aca="false">L717+P717+Q717+R717</f>
        <v>0</v>
      </c>
      <c r="T717" s="34" t="str">
        <f aca="false">IF(A717="","",IFERROR(INDEX(Customers!$B$5:$B$204,MATCH(C717,Customers!$A$5:$A$204,0))&amp;"",""))</f>
        <v/>
      </c>
      <c r="U717" s="38" t="str">
        <f aca="false">IF(A717="","",IF(T717&lt;&gt;"","B2B",IF(AND(O717="Yes",SUMIF($A$5:$A$1004,A717,$L$5:$L$1004)+SUMIF($A$5:$A$1004,A717,$P$5:$P$1004)&gt;100000),"B2CL","B2CS")))</f>
        <v/>
      </c>
      <c r="V717" s="17" t="str">
        <f aca="false">IF(A717="","",TEXT(B717,"mmm-yyyy"))</f>
        <v/>
      </c>
    </row>
    <row r="718" customFormat="false" ht="15" hidden="false" customHeight="true" outlineLevel="0" collapsed="false">
      <c r="A718" s="24"/>
      <c r="B718" s="39"/>
      <c r="C718" s="24"/>
      <c r="D718" s="24"/>
      <c r="E718" s="40"/>
      <c r="F718" s="29"/>
      <c r="G718" s="30"/>
      <c r="H718" s="17" t="str">
        <f aca="false">IF(A718="","",A718&amp;"|"&amp;COUNTIF(A$5:A718,A718))</f>
        <v/>
      </c>
      <c r="I718" s="33" t="str">
        <f aca="false">IF(A718="","",IFERROR(INDEX(Items!$B$5:$B$304,MATCH(D718,Items!$A$5:$A$304,0))&amp;"",""))</f>
        <v/>
      </c>
      <c r="J718" s="34" t="str">
        <f aca="false">IF(A718="","",IFERROR(INDEX(Items!$C$5:$C$304,MATCH(D718,Items!$A$5:$A$304,0))&amp;"",""))</f>
        <v/>
      </c>
      <c r="K718" s="35" t="n">
        <f aca="false">IF(A718="",0,IF(ISNUMBER(F718),F718,IFERROR(INDEX(Items!$D$5:$D$304,MATCH(D718,Items!$A$5:$A$304,0)),0)))</f>
        <v>0</v>
      </c>
      <c r="L718" s="35" t="n">
        <f aca="false">ROUND(N(E718)*K718*(1-N(G718)),2)</f>
        <v>0</v>
      </c>
      <c r="M718" s="36" t="n">
        <f aca="false">IF(A718="",0,IFERROR(INDEX(Items!$E$5:$E$304,MATCH(D718,Items!$A$5:$A$304,0)),0))</f>
        <v>0</v>
      </c>
      <c r="N718" s="37" t="str">
        <f aca="false">IF(A718="","",IFERROR(INDEX(Customers!$E$5:$E$204,MATCH(C718,Customers!$A$5:$A$204,0)),"?"))</f>
        <v/>
      </c>
      <c r="O718" s="38" t="str">
        <f aca="false">IF(A718="","",IF(N718=Settings!$B$17,"No","Yes"))</f>
        <v/>
      </c>
      <c r="P718" s="35" t="n">
        <f aca="false">IF(O718="Yes",ROUND(L718*M718,2),0)</f>
        <v>0</v>
      </c>
      <c r="Q718" s="35" t="n">
        <f aca="false">IF(O718="No",ROUND(L718*M718/2,2),0)</f>
        <v>0</v>
      </c>
      <c r="R718" s="35" t="n">
        <f aca="false">Q718</f>
        <v>0</v>
      </c>
      <c r="S718" s="35" t="n">
        <f aca="false">L718+P718+Q718+R718</f>
        <v>0</v>
      </c>
      <c r="T718" s="34" t="str">
        <f aca="false">IF(A718="","",IFERROR(INDEX(Customers!$B$5:$B$204,MATCH(C718,Customers!$A$5:$A$204,0))&amp;"",""))</f>
        <v/>
      </c>
      <c r="U718" s="38" t="str">
        <f aca="false">IF(A718="","",IF(T718&lt;&gt;"","B2B",IF(AND(O718="Yes",SUMIF($A$5:$A$1004,A718,$L$5:$L$1004)+SUMIF($A$5:$A$1004,A718,$P$5:$P$1004)&gt;100000),"B2CL","B2CS")))</f>
        <v/>
      </c>
      <c r="V718" s="17" t="str">
        <f aca="false">IF(A718="","",TEXT(B718,"mmm-yyyy"))</f>
        <v/>
      </c>
    </row>
    <row r="719" customFormat="false" ht="15" hidden="false" customHeight="true" outlineLevel="0" collapsed="false">
      <c r="A719" s="24"/>
      <c r="B719" s="39"/>
      <c r="C719" s="24"/>
      <c r="D719" s="24"/>
      <c r="E719" s="40"/>
      <c r="F719" s="29"/>
      <c r="G719" s="30"/>
      <c r="H719" s="17" t="str">
        <f aca="false">IF(A719="","",A719&amp;"|"&amp;COUNTIF(A$5:A719,A719))</f>
        <v/>
      </c>
      <c r="I719" s="33" t="str">
        <f aca="false">IF(A719="","",IFERROR(INDEX(Items!$B$5:$B$304,MATCH(D719,Items!$A$5:$A$304,0))&amp;"",""))</f>
        <v/>
      </c>
      <c r="J719" s="34" t="str">
        <f aca="false">IF(A719="","",IFERROR(INDEX(Items!$C$5:$C$304,MATCH(D719,Items!$A$5:$A$304,0))&amp;"",""))</f>
        <v/>
      </c>
      <c r="K719" s="35" t="n">
        <f aca="false">IF(A719="",0,IF(ISNUMBER(F719),F719,IFERROR(INDEX(Items!$D$5:$D$304,MATCH(D719,Items!$A$5:$A$304,0)),0)))</f>
        <v>0</v>
      </c>
      <c r="L719" s="35" t="n">
        <f aca="false">ROUND(N(E719)*K719*(1-N(G719)),2)</f>
        <v>0</v>
      </c>
      <c r="M719" s="36" t="n">
        <f aca="false">IF(A719="",0,IFERROR(INDEX(Items!$E$5:$E$304,MATCH(D719,Items!$A$5:$A$304,0)),0))</f>
        <v>0</v>
      </c>
      <c r="N719" s="37" t="str">
        <f aca="false">IF(A719="","",IFERROR(INDEX(Customers!$E$5:$E$204,MATCH(C719,Customers!$A$5:$A$204,0)),"?"))</f>
        <v/>
      </c>
      <c r="O719" s="38" t="str">
        <f aca="false">IF(A719="","",IF(N719=Settings!$B$17,"No","Yes"))</f>
        <v/>
      </c>
      <c r="P719" s="35" t="n">
        <f aca="false">IF(O719="Yes",ROUND(L719*M719,2),0)</f>
        <v>0</v>
      </c>
      <c r="Q719" s="35" t="n">
        <f aca="false">IF(O719="No",ROUND(L719*M719/2,2),0)</f>
        <v>0</v>
      </c>
      <c r="R719" s="35" t="n">
        <f aca="false">Q719</f>
        <v>0</v>
      </c>
      <c r="S719" s="35" t="n">
        <f aca="false">L719+P719+Q719+R719</f>
        <v>0</v>
      </c>
      <c r="T719" s="34" t="str">
        <f aca="false">IF(A719="","",IFERROR(INDEX(Customers!$B$5:$B$204,MATCH(C719,Customers!$A$5:$A$204,0))&amp;"",""))</f>
        <v/>
      </c>
      <c r="U719" s="38" t="str">
        <f aca="false">IF(A719="","",IF(T719&lt;&gt;"","B2B",IF(AND(O719="Yes",SUMIF($A$5:$A$1004,A719,$L$5:$L$1004)+SUMIF($A$5:$A$1004,A719,$P$5:$P$1004)&gt;100000),"B2CL","B2CS")))</f>
        <v/>
      </c>
      <c r="V719" s="17" t="str">
        <f aca="false">IF(A719="","",TEXT(B719,"mmm-yyyy"))</f>
        <v/>
      </c>
    </row>
    <row r="720" customFormat="false" ht="15" hidden="false" customHeight="true" outlineLevel="0" collapsed="false">
      <c r="A720" s="24"/>
      <c r="B720" s="39"/>
      <c r="C720" s="24"/>
      <c r="D720" s="24"/>
      <c r="E720" s="40"/>
      <c r="F720" s="29"/>
      <c r="G720" s="30"/>
      <c r="H720" s="17" t="str">
        <f aca="false">IF(A720="","",A720&amp;"|"&amp;COUNTIF(A$5:A720,A720))</f>
        <v/>
      </c>
      <c r="I720" s="33" t="str">
        <f aca="false">IF(A720="","",IFERROR(INDEX(Items!$B$5:$B$304,MATCH(D720,Items!$A$5:$A$304,0))&amp;"",""))</f>
        <v/>
      </c>
      <c r="J720" s="34" t="str">
        <f aca="false">IF(A720="","",IFERROR(INDEX(Items!$C$5:$C$304,MATCH(D720,Items!$A$5:$A$304,0))&amp;"",""))</f>
        <v/>
      </c>
      <c r="K720" s="35" t="n">
        <f aca="false">IF(A720="",0,IF(ISNUMBER(F720),F720,IFERROR(INDEX(Items!$D$5:$D$304,MATCH(D720,Items!$A$5:$A$304,0)),0)))</f>
        <v>0</v>
      </c>
      <c r="L720" s="35" t="n">
        <f aca="false">ROUND(N(E720)*K720*(1-N(G720)),2)</f>
        <v>0</v>
      </c>
      <c r="M720" s="36" t="n">
        <f aca="false">IF(A720="",0,IFERROR(INDEX(Items!$E$5:$E$304,MATCH(D720,Items!$A$5:$A$304,0)),0))</f>
        <v>0</v>
      </c>
      <c r="N720" s="37" t="str">
        <f aca="false">IF(A720="","",IFERROR(INDEX(Customers!$E$5:$E$204,MATCH(C720,Customers!$A$5:$A$204,0)),"?"))</f>
        <v/>
      </c>
      <c r="O720" s="38" t="str">
        <f aca="false">IF(A720="","",IF(N720=Settings!$B$17,"No","Yes"))</f>
        <v/>
      </c>
      <c r="P720" s="35" t="n">
        <f aca="false">IF(O720="Yes",ROUND(L720*M720,2),0)</f>
        <v>0</v>
      </c>
      <c r="Q720" s="35" t="n">
        <f aca="false">IF(O720="No",ROUND(L720*M720/2,2),0)</f>
        <v>0</v>
      </c>
      <c r="R720" s="35" t="n">
        <f aca="false">Q720</f>
        <v>0</v>
      </c>
      <c r="S720" s="35" t="n">
        <f aca="false">L720+P720+Q720+R720</f>
        <v>0</v>
      </c>
      <c r="T720" s="34" t="str">
        <f aca="false">IF(A720="","",IFERROR(INDEX(Customers!$B$5:$B$204,MATCH(C720,Customers!$A$5:$A$204,0))&amp;"",""))</f>
        <v/>
      </c>
      <c r="U720" s="38" t="str">
        <f aca="false">IF(A720="","",IF(T720&lt;&gt;"","B2B",IF(AND(O720="Yes",SUMIF($A$5:$A$1004,A720,$L$5:$L$1004)+SUMIF($A$5:$A$1004,A720,$P$5:$P$1004)&gt;100000),"B2CL","B2CS")))</f>
        <v/>
      </c>
      <c r="V720" s="17" t="str">
        <f aca="false">IF(A720="","",TEXT(B720,"mmm-yyyy"))</f>
        <v/>
      </c>
    </row>
    <row r="721" customFormat="false" ht="15" hidden="false" customHeight="true" outlineLevel="0" collapsed="false">
      <c r="A721" s="24"/>
      <c r="B721" s="39"/>
      <c r="C721" s="24"/>
      <c r="D721" s="24"/>
      <c r="E721" s="40"/>
      <c r="F721" s="29"/>
      <c r="G721" s="30"/>
      <c r="H721" s="17" t="str">
        <f aca="false">IF(A721="","",A721&amp;"|"&amp;COUNTIF(A$5:A721,A721))</f>
        <v/>
      </c>
      <c r="I721" s="33" t="str">
        <f aca="false">IF(A721="","",IFERROR(INDEX(Items!$B$5:$B$304,MATCH(D721,Items!$A$5:$A$304,0))&amp;"",""))</f>
        <v/>
      </c>
      <c r="J721" s="34" t="str">
        <f aca="false">IF(A721="","",IFERROR(INDEX(Items!$C$5:$C$304,MATCH(D721,Items!$A$5:$A$304,0))&amp;"",""))</f>
        <v/>
      </c>
      <c r="K721" s="35" t="n">
        <f aca="false">IF(A721="",0,IF(ISNUMBER(F721),F721,IFERROR(INDEX(Items!$D$5:$D$304,MATCH(D721,Items!$A$5:$A$304,0)),0)))</f>
        <v>0</v>
      </c>
      <c r="L721" s="35" t="n">
        <f aca="false">ROUND(N(E721)*K721*(1-N(G721)),2)</f>
        <v>0</v>
      </c>
      <c r="M721" s="36" t="n">
        <f aca="false">IF(A721="",0,IFERROR(INDEX(Items!$E$5:$E$304,MATCH(D721,Items!$A$5:$A$304,0)),0))</f>
        <v>0</v>
      </c>
      <c r="N721" s="37" t="str">
        <f aca="false">IF(A721="","",IFERROR(INDEX(Customers!$E$5:$E$204,MATCH(C721,Customers!$A$5:$A$204,0)),"?"))</f>
        <v/>
      </c>
      <c r="O721" s="38" t="str">
        <f aca="false">IF(A721="","",IF(N721=Settings!$B$17,"No","Yes"))</f>
        <v/>
      </c>
      <c r="P721" s="35" t="n">
        <f aca="false">IF(O721="Yes",ROUND(L721*M721,2),0)</f>
        <v>0</v>
      </c>
      <c r="Q721" s="35" t="n">
        <f aca="false">IF(O721="No",ROUND(L721*M721/2,2),0)</f>
        <v>0</v>
      </c>
      <c r="R721" s="35" t="n">
        <f aca="false">Q721</f>
        <v>0</v>
      </c>
      <c r="S721" s="35" t="n">
        <f aca="false">L721+P721+Q721+R721</f>
        <v>0</v>
      </c>
      <c r="T721" s="34" t="str">
        <f aca="false">IF(A721="","",IFERROR(INDEX(Customers!$B$5:$B$204,MATCH(C721,Customers!$A$5:$A$204,0))&amp;"",""))</f>
        <v/>
      </c>
      <c r="U721" s="38" t="str">
        <f aca="false">IF(A721="","",IF(T721&lt;&gt;"","B2B",IF(AND(O721="Yes",SUMIF($A$5:$A$1004,A721,$L$5:$L$1004)+SUMIF($A$5:$A$1004,A721,$P$5:$P$1004)&gt;100000),"B2CL","B2CS")))</f>
        <v/>
      </c>
      <c r="V721" s="17" t="str">
        <f aca="false">IF(A721="","",TEXT(B721,"mmm-yyyy"))</f>
        <v/>
      </c>
    </row>
    <row r="722" customFormat="false" ht="15" hidden="false" customHeight="true" outlineLevel="0" collapsed="false">
      <c r="A722" s="24"/>
      <c r="B722" s="39"/>
      <c r="C722" s="24"/>
      <c r="D722" s="24"/>
      <c r="E722" s="40"/>
      <c r="F722" s="29"/>
      <c r="G722" s="30"/>
      <c r="H722" s="17" t="str">
        <f aca="false">IF(A722="","",A722&amp;"|"&amp;COUNTIF(A$5:A722,A722))</f>
        <v/>
      </c>
      <c r="I722" s="33" t="str">
        <f aca="false">IF(A722="","",IFERROR(INDEX(Items!$B$5:$B$304,MATCH(D722,Items!$A$5:$A$304,0))&amp;"",""))</f>
        <v/>
      </c>
      <c r="J722" s="34" t="str">
        <f aca="false">IF(A722="","",IFERROR(INDEX(Items!$C$5:$C$304,MATCH(D722,Items!$A$5:$A$304,0))&amp;"",""))</f>
        <v/>
      </c>
      <c r="K722" s="35" t="n">
        <f aca="false">IF(A722="",0,IF(ISNUMBER(F722),F722,IFERROR(INDEX(Items!$D$5:$D$304,MATCH(D722,Items!$A$5:$A$304,0)),0)))</f>
        <v>0</v>
      </c>
      <c r="L722" s="35" t="n">
        <f aca="false">ROUND(N(E722)*K722*(1-N(G722)),2)</f>
        <v>0</v>
      </c>
      <c r="M722" s="36" t="n">
        <f aca="false">IF(A722="",0,IFERROR(INDEX(Items!$E$5:$E$304,MATCH(D722,Items!$A$5:$A$304,0)),0))</f>
        <v>0</v>
      </c>
      <c r="N722" s="37" t="str">
        <f aca="false">IF(A722="","",IFERROR(INDEX(Customers!$E$5:$E$204,MATCH(C722,Customers!$A$5:$A$204,0)),"?"))</f>
        <v/>
      </c>
      <c r="O722" s="38" t="str">
        <f aca="false">IF(A722="","",IF(N722=Settings!$B$17,"No","Yes"))</f>
        <v/>
      </c>
      <c r="P722" s="35" t="n">
        <f aca="false">IF(O722="Yes",ROUND(L722*M722,2),0)</f>
        <v>0</v>
      </c>
      <c r="Q722" s="35" t="n">
        <f aca="false">IF(O722="No",ROUND(L722*M722/2,2),0)</f>
        <v>0</v>
      </c>
      <c r="R722" s="35" t="n">
        <f aca="false">Q722</f>
        <v>0</v>
      </c>
      <c r="S722" s="35" t="n">
        <f aca="false">L722+P722+Q722+R722</f>
        <v>0</v>
      </c>
      <c r="T722" s="34" t="str">
        <f aca="false">IF(A722="","",IFERROR(INDEX(Customers!$B$5:$B$204,MATCH(C722,Customers!$A$5:$A$204,0))&amp;"",""))</f>
        <v/>
      </c>
      <c r="U722" s="38" t="str">
        <f aca="false">IF(A722="","",IF(T722&lt;&gt;"","B2B",IF(AND(O722="Yes",SUMIF($A$5:$A$1004,A722,$L$5:$L$1004)+SUMIF($A$5:$A$1004,A722,$P$5:$P$1004)&gt;100000),"B2CL","B2CS")))</f>
        <v/>
      </c>
      <c r="V722" s="17" t="str">
        <f aca="false">IF(A722="","",TEXT(B722,"mmm-yyyy"))</f>
        <v/>
      </c>
    </row>
    <row r="723" customFormat="false" ht="15" hidden="false" customHeight="true" outlineLevel="0" collapsed="false">
      <c r="A723" s="24"/>
      <c r="B723" s="39"/>
      <c r="C723" s="24"/>
      <c r="D723" s="24"/>
      <c r="E723" s="40"/>
      <c r="F723" s="29"/>
      <c r="G723" s="30"/>
      <c r="H723" s="17" t="str">
        <f aca="false">IF(A723="","",A723&amp;"|"&amp;COUNTIF(A$5:A723,A723))</f>
        <v/>
      </c>
      <c r="I723" s="33" t="str">
        <f aca="false">IF(A723="","",IFERROR(INDEX(Items!$B$5:$B$304,MATCH(D723,Items!$A$5:$A$304,0))&amp;"",""))</f>
        <v/>
      </c>
      <c r="J723" s="34" t="str">
        <f aca="false">IF(A723="","",IFERROR(INDEX(Items!$C$5:$C$304,MATCH(D723,Items!$A$5:$A$304,0))&amp;"",""))</f>
        <v/>
      </c>
      <c r="K723" s="35" t="n">
        <f aca="false">IF(A723="",0,IF(ISNUMBER(F723),F723,IFERROR(INDEX(Items!$D$5:$D$304,MATCH(D723,Items!$A$5:$A$304,0)),0)))</f>
        <v>0</v>
      </c>
      <c r="L723" s="35" t="n">
        <f aca="false">ROUND(N(E723)*K723*(1-N(G723)),2)</f>
        <v>0</v>
      </c>
      <c r="M723" s="36" t="n">
        <f aca="false">IF(A723="",0,IFERROR(INDEX(Items!$E$5:$E$304,MATCH(D723,Items!$A$5:$A$304,0)),0))</f>
        <v>0</v>
      </c>
      <c r="N723" s="37" t="str">
        <f aca="false">IF(A723="","",IFERROR(INDEX(Customers!$E$5:$E$204,MATCH(C723,Customers!$A$5:$A$204,0)),"?"))</f>
        <v/>
      </c>
      <c r="O723" s="38" t="str">
        <f aca="false">IF(A723="","",IF(N723=Settings!$B$17,"No","Yes"))</f>
        <v/>
      </c>
      <c r="P723" s="35" t="n">
        <f aca="false">IF(O723="Yes",ROUND(L723*M723,2),0)</f>
        <v>0</v>
      </c>
      <c r="Q723" s="35" t="n">
        <f aca="false">IF(O723="No",ROUND(L723*M723/2,2),0)</f>
        <v>0</v>
      </c>
      <c r="R723" s="35" t="n">
        <f aca="false">Q723</f>
        <v>0</v>
      </c>
      <c r="S723" s="35" t="n">
        <f aca="false">L723+P723+Q723+R723</f>
        <v>0</v>
      </c>
      <c r="T723" s="34" t="str">
        <f aca="false">IF(A723="","",IFERROR(INDEX(Customers!$B$5:$B$204,MATCH(C723,Customers!$A$5:$A$204,0))&amp;"",""))</f>
        <v/>
      </c>
      <c r="U723" s="38" t="str">
        <f aca="false">IF(A723="","",IF(T723&lt;&gt;"","B2B",IF(AND(O723="Yes",SUMIF($A$5:$A$1004,A723,$L$5:$L$1004)+SUMIF($A$5:$A$1004,A723,$P$5:$P$1004)&gt;100000),"B2CL","B2CS")))</f>
        <v/>
      </c>
      <c r="V723" s="17" t="str">
        <f aca="false">IF(A723="","",TEXT(B723,"mmm-yyyy"))</f>
        <v/>
      </c>
    </row>
    <row r="724" customFormat="false" ht="15" hidden="false" customHeight="true" outlineLevel="0" collapsed="false">
      <c r="A724" s="24"/>
      <c r="B724" s="39"/>
      <c r="C724" s="24"/>
      <c r="D724" s="24"/>
      <c r="E724" s="40"/>
      <c r="F724" s="29"/>
      <c r="G724" s="30"/>
      <c r="H724" s="17" t="str">
        <f aca="false">IF(A724="","",A724&amp;"|"&amp;COUNTIF(A$5:A724,A724))</f>
        <v/>
      </c>
      <c r="I724" s="33" t="str">
        <f aca="false">IF(A724="","",IFERROR(INDEX(Items!$B$5:$B$304,MATCH(D724,Items!$A$5:$A$304,0))&amp;"",""))</f>
        <v/>
      </c>
      <c r="J724" s="34" t="str">
        <f aca="false">IF(A724="","",IFERROR(INDEX(Items!$C$5:$C$304,MATCH(D724,Items!$A$5:$A$304,0))&amp;"",""))</f>
        <v/>
      </c>
      <c r="K724" s="35" t="n">
        <f aca="false">IF(A724="",0,IF(ISNUMBER(F724),F724,IFERROR(INDEX(Items!$D$5:$D$304,MATCH(D724,Items!$A$5:$A$304,0)),0)))</f>
        <v>0</v>
      </c>
      <c r="L724" s="35" t="n">
        <f aca="false">ROUND(N(E724)*K724*(1-N(G724)),2)</f>
        <v>0</v>
      </c>
      <c r="M724" s="36" t="n">
        <f aca="false">IF(A724="",0,IFERROR(INDEX(Items!$E$5:$E$304,MATCH(D724,Items!$A$5:$A$304,0)),0))</f>
        <v>0</v>
      </c>
      <c r="N724" s="37" t="str">
        <f aca="false">IF(A724="","",IFERROR(INDEX(Customers!$E$5:$E$204,MATCH(C724,Customers!$A$5:$A$204,0)),"?"))</f>
        <v/>
      </c>
      <c r="O724" s="38" t="str">
        <f aca="false">IF(A724="","",IF(N724=Settings!$B$17,"No","Yes"))</f>
        <v/>
      </c>
      <c r="P724" s="35" t="n">
        <f aca="false">IF(O724="Yes",ROUND(L724*M724,2),0)</f>
        <v>0</v>
      </c>
      <c r="Q724" s="35" t="n">
        <f aca="false">IF(O724="No",ROUND(L724*M724/2,2),0)</f>
        <v>0</v>
      </c>
      <c r="R724" s="35" t="n">
        <f aca="false">Q724</f>
        <v>0</v>
      </c>
      <c r="S724" s="35" t="n">
        <f aca="false">L724+P724+Q724+R724</f>
        <v>0</v>
      </c>
      <c r="T724" s="34" t="str">
        <f aca="false">IF(A724="","",IFERROR(INDEX(Customers!$B$5:$B$204,MATCH(C724,Customers!$A$5:$A$204,0))&amp;"",""))</f>
        <v/>
      </c>
      <c r="U724" s="38" t="str">
        <f aca="false">IF(A724="","",IF(T724&lt;&gt;"","B2B",IF(AND(O724="Yes",SUMIF($A$5:$A$1004,A724,$L$5:$L$1004)+SUMIF($A$5:$A$1004,A724,$P$5:$P$1004)&gt;100000),"B2CL","B2CS")))</f>
        <v/>
      </c>
      <c r="V724" s="17" t="str">
        <f aca="false">IF(A724="","",TEXT(B724,"mmm-yyyy"))</f>
        <v/>
      </c>
    </row>
    <row r="725" customFormat="false" ht="15" hidden="false" customHeight="true" outlineLevel="0" collapsed="false">
      <c r="A725" s="24"/>
      <c r="B725" s="39"/>
      <c r="C725" s="24"/>
      <c r="D725" s="24"/>
      <c r="E725" s="40"/>
      <c r="F725" s="29"/>
      <c r="G725" s="30"/>
      <c r="H725" s="17" t="str">
        <f aca="false">IF(A725="","",A725&amp;"|"&amp;COUNTIF(A$5:A725,A725))</f>
        <v/>
      </c>
      <c r="I725" s="33" t="str">
        <f aca="false">IF(A725="","",IFERROR(INDEX(Items!$B$5:$B$304,MATCH(D725,Items!$A$5:$A$304,0))&amp;"",""))</f>
        <v/>
      </c>
      <c r="J725" s="34" t="str">
        <f aca="false">IF(A725="","",IFERROR(INDEX(Items!$C$5:$C$304,MATCH(D725,Items!$A$5:$A$304,0))&amp;"",""))</f>
        <v/>
      </c>
      <c r="K725" s="35" t="n">
        <f aca="false">IF(A725="",0,IF(ISNUMBER(F725),F725,IFERROR(INDEX(Items!$D$5:$D$304,MATCH(D725,Items!$A$5:$A$304,0)),0)))</f>
        <v>0</v>
      </c>
      <c r="L725" s="35" t="n">
        <f aca="false">ROUND(N(E725)*K725*(1-N(G725)),2)</f>
        <v>0</v>
      </c>
      <c r="M725" s="36" t="n">
        <f aca="false">IF(A725="",0,IFERROR(INDEX(Items!$E$5:$E$304,MATCH(D725,Items!$A$5:$A$304,0)),0))</f>
        <v>0</v>
      </c>
      <c r="N725" s="37" t="str">
        <f aca="false">IF(A725="","",IFERROR(INDEX(Customers!$E$5:$E$204,MATCH(C725,Customers!$A$5:$A$204,0)),"?"))</f>
        <v/>
      </c>
      <c r="O725" s="38" t="str">
        <f aca="false">IF(A725="","",IF(N725=Settings!$B$17,"No","Yes"))</f>
        <v/>
      </c>
      <c r="P725" s="35" t="n">
        <f aca="false">IF(O725="Yes",ROUND(L725*M725,2),0)</f>
        <v>0</v>
      </c>
      <c r="Q725" s="35" t="n">
        <f aca="false">IF(O725="No",ROUND(L725*M725/2,2),0)</f>
        <v>0</v>
      </c>
      <c r="R725" s="35" t="n">
        <f aca="false">Q725</f>
        <v>0</v>
      </c>
      <c r="S725" s="35" t="n">
        <f aca="false">L725+P725+Q725+R725</f>
        <v>0</v>
      </c>
      <c r="T725" s="34" t="str">
        <f aca="false">IF(A725="","",IFERROR(INDEX(Customers!$B$5:$B$204,MATCH(C725,Customers!$A$5:$A$204,0))&amp;"",""))</f>
        <v/>
      </c>
      <c r="U725" s="38" t="str">
        <f aca="false">IF(A725="","",IF(T725&lt;&gt;"","B2B",IF(AND(O725="Yes",SUMIF($A$5:$A$1004,A725,$L$5:$L$1004)+SUMIF($A$5:$A$1004,A725,$P$5:$P$1004)&gt;100000),"B2CL","B2CS")))</f>
        <v/>
      </c>
      <c r="V725" s="17" t="str">
        <f aca="false">IF(A725="","",TEXT(B725,"mmm-yyyy"))</f>
        <v/>
      </c>
    </row>
    <row r="726" customFormat="false" ht="15" hidden="false" customHeight="true" outlineLevel="0" collapsed="false">
      <c r="A726" s="24"/>
      <c r="B726" s="39"/>
      <c r="C726" s="24"/>
      <c r="D726" s="24"/>
      <c r="E726" s="40"/>
      <c r="F726" s="29"/>
      <c r="G726" s="30"/>
      <c r="H726" s="17" t="str">
        <f aca="false">IF(A726="","",A726&amp;"|"&amp;COUNTIF(A$5:A726,A726))</f>
        <v/>
      </c>
      <c r="I726" s="33" t="str">
        <f aca="false">IF(A726="","",IFERROR(INDEX(Items!$B$5:$B$304,MATCH(D726,Items!$A$5:$A$304,0))&amp;"",""))</f>
        <v/>
      </c>
      <c r="J726" s="34" t="str">
        <f aca="false">IF(A726="","",IFERROR(INDEX(Items!$C$5:$C$304,MATCH(D726,Items!$A$5:$A$304,0))&amp;"",""))</f>
        <v/>
      </c>
      <c r="K726" s="35" t="n">
        <f aca="false">IF(A726="",0,IF(ISNUMBER(F726),F726,IFERROR(INDEX(Items!$D$5:$D$304,MATCH(D726,Items!$A$5:$A$304,0)),0)))</f>
        <v>0</v>
      </c>
      <c r="L726" s="35" t="n">
        <f aca="false">ROUND(N(E726)*K726*(1-N(G726)),2)</f>
        <v>0</v>
      </c>
      <c r="M726" s="36" t="n">
        <f aca="false">IF(A726="",0,IFERROR(INDEX(Items!$E$5:$E$304,MATCH(D726,Items!$A$5:$A$304,0)),0))</f>
        <v>0</v>
      </c>
      <c r="N726" s="37" t="str">
        <f aca="false">IF(A726="","",IFERROR(INDEX(Customers!$E$5:$E$204,MATCH(C726,Customers!$A$5:$A$204,0)),"?"))</f>
        <v/>
      </c>
      <c r="O726" s="38" t="str">
        <f aca="false">IF(A726="","",IF(N726=Settings!$B$17,"No","Yes"))</f>
        <v/>
      </c>
      <c r="P726" s="35" t="n">
        <f aca="false">IF(O726="Yes",ROUND(L726*M726,2),0)</f>
        <v>0</v>
      </c>
      <c r="Q726" s="35" t="n">
        <f aca="false">IF(O726="No",ROUND(L726*M726/2,2),0)</f>
        <v>0</v>
      </c>
      <c r="R726" s="35" t="n">
        <f aca="false">Q726</f>
        <v>0</v>
      </c>
      <c r="S726" s="35" t="n">
        <f aca="false">L726+P726+Q726+R726</f>
        <v>0</v>
      </c>
      <c r="T726" s="34" t="str">
        <f aca="false">IF(A726="","",IFERROR(INDEX(Customers!$B$5:$B$204,MATCH(C726,Customers!$A$5:$A$204,0))&amp;"",""))</f>
        <v/>
      </c>
      <c r="U726" s="38" t="str">
        <f aca="false">IF(A726="","",IF(T726&lt;&gt;"","B2B",IF(AND(O726="Yes",SUMIF($A$5:$A$1004,A726,$L$5:$L$1004)+SUMIF($A$5:$A$1004,A726,$P$5:$P$1004)&gt;100000),"B2CL","B2CS")))</f>
        <v/>
      </c>
      <c r="V726" s="17" t="str">
        <f aca="false">IF(A726="","",TEXT(B726,"mmm-yyyy"))</f>
        <v/>
      </c>
    </row>
    <row r="727" customFormat="false" ht="15" hidden="false" customHeight="true" outlineLevel="0" collapsed="false">
      <c r="A727" s="24"/>
      <c r="B727" s="39"/>
      <c r="C727" s="24"/>
      <c r="D727" s="24"/>
      <c r="E727" s="40"/>
      <c r="F727" s="29"/>
      <c r="G727" s="30"/>
      <c r="H727" s="17" t="str">
        <f aca="false">IF(A727="","",A727&amp;"|"&amp;COUNTIF(A$5:A727,A727))</f>
        <v/>
      </c>
      <c r="I727" s="33" t="str">
        <f aca="false">IF(A727="","",IFERROR(INDEX(Items!$B$5:$B$304,MATCH(D727,Items!$A$5:$A$304,0))&amp;"",""))</f>
        <v/>
      </c>
      <c r="J727" s="34" t="str">
        <f aca="false">IF(A727="","",IFERROR(INDEX(Items!$C$5:$C$304,MATCH(D727,Items!$A$5:$A$304,0))&amp;"",""))</f>
        <v/>
      </c>
      <c r="K727" s="35" t="n">
        <f aca="false">IF(A727="",0,IF(ISNUMBER(F727),F727,IFERROR(INDEX(Items!$D$5:$D$304,MATCH(D727,Items!$A$5:$A$304,0)),0)))</f>
        <v>0</v>
      </c>
      <c r="L727" s="35" t="n">
        <f aca="false">ROUND(N(E727)*K727*(1-N(G727)),2)</f>
        <v>0</v>
      </c>
      <c r="M727" s="36" t="n">
        <f aca="false">IF(A727="",0,IFERROR(INDEX(Items!$E$5:$E$304,MATCH(D727,Items!$A$5:$A$304,0)),0))</f>
        <v>0</v>
      </c>
      <c r="N727" s="37" t="str">
        <f aca="false">IF(A727="","",IFERROR(INDEX(Customers!$E$5:$E$204,MATCH(C727,Customers!$A$5:$A$204,0)),"?"))</f>
        <v/>
      </c>
      <c r="O727" s="38" t="str">
        <f aca="false">IF(A727="","",IF(N727=Settings!$B$17,"No","Yes"))</f>
        <v/>
      </c>
      <c r="P727" s="35" t="n">
        <f aca="false">IF(O727="Yes",ROUND(L727*M727,2),0)</f>
        <v>0</v>
      </c>
      <c r="Q727" s="35" t="n">
        <f aca="false">IF(O727="No",ROUND(L727*M727/2,2),0)</f>
        <v>0</v>
      </c>
      <c r="R727" s="35" t="n">
        <f aca="false">Q727</f>
        <v>0</v>
      </c>
      <c r="S727" s="35" t="n">
        <f aca="false">L727+P727+Q727+R727</f>
        <v>0</v>
      </c>
      <c r="T727" s="34" t="str">
        <f aca="false">IF(A727="","",IFERROR(INDEX(Customers!$B$5:$B$204,MATCH(C727,Customers!$A$5:$A$204,0))&amp;"",""))</f>
        <v/>
      </c>
      <c r="U727" s="38" t="str">
        <f aca="false">IF(A727="","",IF(T727&lt;&gt;"","B2B",IF(AND(O727="Yes",SUMIF($A$5:$A$1004,A727,$L$5:$L$1004)+SUMIF($A$5:$A$1004,A727,$P$5:$P$1004)&gt;100000),"B2CL","B2CS")))</f>
        <v/>
      </c>
      <c r="V727" s="17" t="str">
        <f aca="false">IF(A727="","",TEXT(B727,"mmm-yyyy"))</f>
        <v/>
      </c>
    </row>
    <row r="728" customFormat="false" ht="15" hidden="false" customHeight="true" outlineLevel="0" collapsed="false">
      <c r="A728" s="24"/>
      <c r="B728" s="39"/>
      <c r="C728" s="24"/>
      <c r="D728" s="24"/>
      <c r="E728" s="40"/>
      <c r="F728" s="29"/>
      <c r="G728" s="30"/>
      <c r="H728" s="17" t="str">
        <f aca="false">IF(A728="","",A728&amp;"|"&amp;COUNTIF(A$5:A728,A728))</f>
        <v/>
      </c>
      <c r="I728" s="33" t="str">
        <f aca="false">IF(A728="","",IFERROR(INDEX(Items!$B$5:$B$304,MATCH(D728,Items!$A$5:$A$304,0))&amp;"",""))</f>
        <v/>
      </c>
      <c r="J728" s="34" t="str">
        <f aca="false">IF(A728="","",IFERROR(INDEX(Items!$C$5:$C$304,MATCH(D728,Items!$A$5:$A$304,0))&amp;"",""))</f>
        <v/>
      </c>
      <c r="K728" s="35" t="n">
        <f aca="false">IF(A728="",0,IF(ISNUMBER(F728),F728,IFERROR(INDEX(Items!$D$5:$D$304,MATCH(D728,Items!$A$5:$A$304,0)),0)))</f>
        <v>0</v>
      </c>
      <c r="L728" s="35" t="n">
        <f aca="false">ROUND(N(E728)*K728*(1-N(G728)),2)</f>
        <v>0</v>
      </c>
      <c r="M728" s="36" t="n">
        <f aca="false">IF(A728="",0,IFERROR(INDEX(Items!$E$5:$E$304,MATCH(D728,Items!$A$5:$A$304,0)),0))</f>
        <v>0</v>
      </c>
      <c r="N728" s="37" t="str">
        <f aca="false">IF(A728="","",IFERROR(INDEX(Customers!$E$5:$E$204,MATCH(C728,Customers!$A$5:$A$204,0)),"?"))</f>
        <v/>
      </c>
      <c r="O728" s="38" t="str">
        <f aca="false">IF(A728="","",IF(N728=Settings!$B$17,"No","Yes"))</f>
        <v/>
      </c>
      <c r="P728" s="35" t="n">
        <f aca="false">IF(O728="Yes",ROUND(L728*M728,2),0)</f>
        <v>0</v>
      </c>
      <c r="Q728" s="35" t="n">
        <f aca="false">IF(O728="No",ROUND(L728*M728/2,2),0)</f>
        <v>0</v>
      </c>
      <c r="R728" s="35" t="n">
        <f aca="false">Q728</f>
        <v>0</v>
      </c>
      <c r="S728" s="35" t="n">
        <f aca="false">L728+P728+Q728+R728</f>
        <v>0</v>
      </c>
      <c r="T728" s="34" t="str">
        <f aca="false">IF(A728="","",IFERROR(INDEX(Customers!$B$5:$B$204,MATCH(C728,Customers!$A$5:$A$204,0))&amp;"",""))</f>
        <v/>
      </c>
      <c r="U728" s="38" t="str">
        <f aca="false">IF(A728="","",IF(T728&lt;&gt;"","B2B",IF(AND(O728="Yes",SUMIF($A$5:$A$1004,A728,$L$5:$L$1004)+SUMIF($A$5:$A$1004,A728,$P$5:$P$1004)&gt;100000),"B2CL","B2CS")))</f>
        <v/>
      </c>
      <c r="V728" s="17" t="str">
        <f aca="false">IF(A728="","",TEXT(B728,"mmm-yyyy"))</f>
        <v/>
      </c>
    </row>
    <row r="729" customFormat="false" ht="15" hidden="false" customHeight="true" outlineLevel="0" collapsed="false">
      <c r="A729" s="24"/>
      <c r="B729" s="39"/>
      <c r="C729" s="24"/>
      <c r="D729" s="24"/>
      <c r="E729" s="40"/>
      <c r="F729" s="29"/>
      <c r="G729" s="30"/>
      <c r="H729" s="17" t="str">
        <f aca="false">IF(A729="","",A729&amp;"|"&amp;COUNTIF(A$5:A729,A729))</f>
        <v/>
      </c>
      <c r="I729" s="33" t="str">
        <f aca="false">IF(A729="","",IFERROR(INDEX(Items!$B$5:$B$304,MATCH(D729,Items!$A$5:$A$304,0))&amp;"",""))</f>
        <v/>
      </c>
      <c r="J729" s="34" t="str">
        <f aca="false">IF(A729="","",IFERROR(INDEX(Items!$C$5:$C$304,MATCH(D729,Items!$A$5:$A$304,0))&amp;"",""))</f>
        <v/>
      </c>
      <c r="K729" s="35" t="n">
        <f aca="false">IF(A729="",0,IF(ISNUMBER(F729),F729,IFERROR(INDEX(Items!$D$5:$D$304,MATCH(D729,Items!$A$5:$A$304,0)),0)))</f>
        <v>0</v>
      </c>
      <c r="L729" s="35" t="n">
        <f aca="false">ROUND(N(E729)*K729*(1-N(G729)),2)</f>
        <v>0</v>
      </c>
      <c r="M729" s="36" t="n">
        <f aca="false">IF(A729="",0,IFERROR(INDEX(Items!$E$5:$E$304,MATCH(D729,Items!$A$5:$A$304,0)),0))</f>
        <v>0</v>
      </c>
      <c r="N729" s="37" t="str">
        <f aca="false">IF(A729="","",IFERROR(INDEX(Customers!$E$5:$E$204,MATCH(C729,Customers!$A$5:$A$204,0)),"?"))</f>
        <v/>
      </c>
      <c r="O729" s="38" t="str">
        <f aca="false">IF(A729="","",IF(N729=Settings!$B$17,"No","Yes"))</f>
        <v/>
      </c>
      <c r="P729" s="35" t="n">
        <f aca="false">IF(O729="Yes",ROUND(L729*M729,2),0)</f>
        <v>0</v>
      </c>
      <c r="Q729" s="35" t="n">
        <f aca="false">IF(O729="No",ROUND(L729*M729/2,2),0)</f>
        <v>0</v>
      </c>
      <c r="R729" s="35" t="n">
        <f aca="false">Q729</f>
        <v>0</v>
      </c>
      <c r="S729" s="35" t="n">
        <f aca="false">L729+P729+Q729+R729</f>
        <v>0</v>
      </c>
      <c r="T729" s="34" t="str">
        <f aca="false">IF(A729="","",IFERROR(INDEX(Customers!$B$5:$B$204,MATCH(C729,Customers!$A$5:$A$204,0))&amp;"",""))</f>
        <v/>
      </c>
      <c r="U729" s="38" t="str">
        <f aca="false">IF(A729="","",IF(T729&lt;&gt;"","B2B",IF(AND(O729="Yes",SUMIF($A$5:$A$1004,A729,$L$5:$L$1004)+SUMIF($A$5:$A$1004,A729,$P$5:$P$1004)&gt;100000),"B2CL","B2CS")))</f>
        <v/>
      </c>
      <c r="V729" s="17" t="str">
        <f aca="false">IF(A729="","",TEXT(B729,"mmm-yyyy"))</f>
        <v/>
      </c>
    </row>
    <row r="730" customFormat="false" ht="15" hidden="false" customHeight="true" outlineLevel="0" collapsed="false">
      <c r="A730" s="24"/>
      <c r="B730" s="39"/>
      <c r="C730" s="24"/>
      <c r="D730" s="24"/>
      <c r="E730" s="40"/>
      <c r="F730" s="29"/>
      <c r="G730" s="30"/>
      <c r="H730" s="17" t="str">
        <f aca="false">IF(A730="","",A730&amp;"|"&amp;COUNTIF(A$5:A730,A730))</f>
        <v/>
      </c>
      <c r="I730" s="33" t="str">
        <f aca="false">IF(A730="","",IFERROR(INDEX(Items!$B$5:$B$304,MATCH(D730,Items!$A$5:$A$304,0))&amp;"",""))</f>
        <v/>
      </c>
      <c r="J730" s="34" t="str">
        <f aca="false">IF(A730="","",IFERROR(INDEX(Items!$C$5:$C$304,MATCH(D730,Items!$A$5:$A$304,0))&amp;"",""))</f>
        <v/>
      </c>
      <c r="K730" s="35" t="n">
        <f aca="false">IF(A730="",0,IF(ISNUMBER(F730),F730,IFERROR(INDEX(Items!$D$5:$D$304,MATCH(D730,Items!$A$5:$A$304,0)),0)))</f>
        <v>0</v>
      </c>
      <c r="L730" s="35" t="n">
        <f aca="false">ROUND(N(E730)*K730*(1-N(G730)),2)</f>
        <v>0</v>
      </c>
      <c r="M730" s="36" t="n">
        <f aca="false">IF(A730="",0,IFERROR(INDEX(Items!$E$5:$E$304,MATCH(D730,Items!$A$5:$A$304,0)),0))</f>
        <v>0</v>
      </c>
      <c r="N730" s="37" t="str">
        <f aca="false">IF(A730="","",IFERROR(INDEX(Customers!$E$5:$E$204,MATCH(C730,Customers!$A$5:$A$204,0)),"?"))</f>
        <v/>
      </c>
      <c r="O730" s="38" t="str">
        <f aca="false">IF(A730="","",IF(N730=Settings!$B$17,"No","Yes"))</f>
        <v/>
      </c>
      <c r="P730" s="35" t="n">
        <f aca="false">IF(O730="Yes",ROUND(L730*M730,2),0)</f>
        <v>0</v>
      </c>
      <c r="Q730" s="35" t="n">
        <f aca="false">IF(O730="No",ROUND(L730*M730/2,2),0)</f>
        <v>0</v>
      </c>
      <c r="R730" s="35" t="n">
        <f aca="false">Q730</f>
        <v>0</v>
      </c>
      <c r="S730" s="35" t="n">
        <f aca="false">L730+P730+Q730+R730</f>
        <v>0</v>
      </c>
      <c r="T730" s="34" t="str">
        <f aca="false">IF(A730="","",IFERROR(INDEX(Customers!$B$5:$B$204,MATCH(C730,Customers!$A$5:$A$204,0))&amp;"",""))</f>
        <v/>
      </c>
      <c r="U730" s="38" t="str">
        <f aca="false">IF(A730="","",IF(T730&lt;&gt;"","B2B",IF(AND(O730="Yes",SUMIF($A$5:$A$1004,A730,$L$5:$L$1004)+SUMIF($A$5:$A$1004,A730,$P$5:$P$1004)&gt;100000),"B2CL","B2CS")))</f>
        <v/>
      </c>
      <c r="V730" s="17" t="str">
        <f aca="false">IF(A730="","",TEXT(B730,"mmm-yyyy"))</f>
        <v/>
      </c>
    </row>
    <row r="731" customFormat="false" ht="15" hidden="false" customHeight="true" outlineLevel="0" collapsed="false">
      <c r="A731" s="24"/>
      <c r="B731" s="39"/>
      <c r="C731" s="24"/>
      <c r="D731" s="24"/>
      <c r="E731" s="40"/>
      <c r="F731" s="29"/>
      <c r="G731" s="30"/>
      <c r="H731" s="17" t="str">
        <f aca="false">IF(A731="","",A731&amp;"|"&amp;COUNTIF(A$5:A731,A731))</f>
        <v/>
      </c>
      <c r="I731" s="33" t="str">
        <f aca="false">IF(A731="","",IFERROR(INDEX(Items!$B$5:$B$304,MATCH(D731,Items!$A$5:$A$304,0))&amp;"",""))</f>
        <v/>
      </c>
      <c r="J731" s="34" t="str">
        <f aca="false">IF(A731="","",IFERROR(INDEX(Items!$C$5:$C$304,MATCH(D731,Items!$A$5:$A$304,0))&amp;"",""))</f>
        <v/>
      </c>
      <c r="K731" s="35" t="n">
        <f aca="false">IF(A731="",0,IF(ISNUMBER(F731),F731,IFERROR(INDEX(Items!$D$5:$D$304,MATCH(D731,Items!$A$5:$A$304,0)),0)))</f>
        <v>0</v>
      </c>
      <c r="L731" s="35" t="n">
        <f aca="false">ROUND(N(E731)*K731*(1-N(G731)),2)</f>
        <v>0</v>
      </c>
      <c r="M731" s="36" t="n">
        <f aca="false">IF(A731="",0,IFERROR(INDEX(Items!$E$5:$E$304,MATCH(D731,Items!$A$5:$A$304,0)),0))</f>
        <v>0</v>
      </c>
      <c r="N731" s="37" t="str">
        <f aca="false">IF(A731="","",IFERROR(INDEX(Customers!$E$5:$E$204,MATCH(C731,Customers!$A$5:$A$204,0)),"?"))</f>
        <v/>
      </c>
      <c r="O731" s="38" t="str">
        <f aca="false">IF(A731="","",IF(N731=Settings!$B$17,"No","Yes"))</f>
        <v/>
      </c>
      <c r="P731" s="35" t="n">
        <f aca="false">IF(O731="Yes",ROUND(L731*M731,2),0)</f>
        <v>0</v>
      </c>
      <c r="Q731" s="35" t="n">
        <f aca="false">IF(O731="No",ROUND(L731*M731/2,2),0)</f>
        <v>0</v>
      </c>
      <c r="R731" s="35" t="n">
        <f aca="false">Q731</f>
        <v>0</v>
      </c>
      <c r="S731" s="35" t="n">
        <f aca="false">L731+P731+Q731+R731</f>
        <v>0</v>
      </c>
      <c r="T731" s="34" t="str">
        <f aca="false">IF(A731="","",IFERROR(INDEX(Customers!$B$5:$B$204,MATCH(C731,Customers!$A$5:$A$204,0))&amp;"",""))</f>
        <v/>
      </c>
      <c r="U731" s="38" t="str">
        <f aca="false">IF(A731="","",IF(T731&lt;&gt;"","B2B",IF(AND(O731="Yes",SUMIF($A$5:$A$1004,A731,$L$5:$L$1004)+SUMIF($A$5:$A$1004,A731,$P$5:$P$1004)&gt;100000),"B2CL","B2CS")))</f>
        <v/>
      </c>
      <c r="V731" s="17" t="str">
        <f aca="false">IF(A731="","",TEXT(B731,"mmm-yyyy"))</f>
        <v/>
      </c>
    </row>
    <row r="732" customFormat="false" ht="15" hidden="false" customHeight="true" outlineLevel="0" collapsed="false">
      <c r="A732" s="24"/>
      <c r="B732" s="39"/>
      <c r="C732" s="24"/>
      <c r="D732" s="24"/>
      <c r="E732" s="40"/>
      <c r="F732" s="29"/>
      <c r="G732" s="30"/>
      <c r="H732" s="17" t="str">
        <f aca="false">IF(A732="","",A732&amp;"|"&amp;COUNTIF(A$5:A732,A732))</f>
        <v/>
      </c>
      <c r="I732" s="33" t="str">
        <f aca="false">IF(A732="","",IFERROR(INDEX(Items!$B$5:$B$304,MATCH(D732,Items!$A$5:$A$304,0))&amp;"",""))</f>
        <v/>
      </c>
      <c r="J732" s="34" t="str">
        <f aca="false">IF(A732="","",IFERROR(INDEX(Items!$C$5:$C$304,MATCH(D732,Items!$A$5:$A$304,0))&amp;"",""))</f>
        <v/>
      </c>
      <c r="K732" s="35" t="n">
        <f aca="false">IF(A732="",0,IF(ISNUMBER(F732),F732,IFERROR(INDEX(Items!$D$5:$D$304,MATCH(D732,Items!$A$5:$A$304,0)),0)))</f>
        <v>0</v>
      </c>
      <c r="L732" s="35" t="n">
        <f aca="false">ROUND(N(E732)*K732*(1-N(G732)),2)</f>
        <v>0</v>
      </c>
      <c r="M732" s="36" t="n">
        <f aca="false">IF(A732="",0,IFERROR(INDEX(Items!$E$5:$E$304,MATCH(D732,Items!$A$5:$A$304,0)),0))</f>
        <v>0</v>
      </c>
      <c r="N732" s="37" t="str">
        <f aca="false">IF(A732="","",IFERROR(INDEX(Customers!$E$5:$E$204,MATCH(C732,Customers!$A$5:$A$204,0)),"?"))</f>
        <v/>
      </c>
      <c r="O732" s="38" t="str">
        <f aca="false">IF(A732="","",IF(N732=Settings!$B$17,"No","Yes"))</f>
        <v/>
      </c>
      <c r="P732" s="35" t="n">
        <f aca="false">IF(O732="Yes",ROUND(L732*M732,2),0)</f>
        <v>0</v>
      </c>
      <c r="Q732" s="35" t="n">
        <f aca="false">IF(O732="No",ROUND(L732*M732/2,2),0)</f>
        <v>0</v>
      </c>
      <c r="R732" s="35" t="n">
        <f aca="false">Q732</f>
        <v>0</v>
      </c>
      <c r="S732" s="35" t="n">
        <f aca="false">L732+P732+Q732+R732</f>
        <v>0</v>
      </c>
      <c r="T732" s="34" t="str">
        <f aca="false">IF(A732="","",IFERROR(INDEX(Customers!$B$5:$B$204,MATCH(C732,Customers!$A$5:$A$204,0))&amp;"",""))</f>
        <v/>
      </c>
      <c r="U732" s="38" t="str">
        <f aca="false">IF(A732="","",IF(T732&lt;&gt;"","B2B",IF(AND(O732="Yes",SUMIF($A$5:$A$1004,A732,$L$5:$L$1004)+SUMIF($A$5:$A$1004,A732,$P$5:$P$1004)&gt;100000),"B2CL","B2CS")))</f>
        <v/>
      </c>
      <c r="V732" s="17" t="str">
        <f aca="false">IF(A732="","",TEXT(B732,"mmm-yyyy"))</f>
        <v/>
      </c>
    </row>
    <row r="733" customFormat="false" ht="15" hidden="false" customHeight="true" outlineLevel="0" collapsed="false">
      <c r="A733" s="24"/>
      <c r="B733" s="39"/>
      <c r="C733" s="24"/>
      <c r="D733" s="24"/>
      <c r="E733" s="40"/>
      <c r="F733" s="29"/>
      <c r="G733" s="30"/>
      <c r="H733" s="17" t="str">
        <f aca="false">IF(A733="","",A733&amp;"|"&amp;COUNTIF(A$5:A733,A733))</f>
        <v/>
      </c>
      <c r="I733" s="33" t="str">
        <f aca="false">IF(A733="","",IFERROR(INDEX(Items!$B$5:$B$304,MATCH(D733,Items!$A$5:$A$304,0))&amp;"",""))</f>
        <v/>
      </c>
      <c r="J733" s="34" t="str">
        <f aca="false">IF(A733="","",IFERROR(INDEX(Items!$C$5:$C$304,MATCH(D733,Items!$A$5:$A$304,0))&amp;"",""))</f>
        <v/>
      </c>
      <c r="K733" s="35" t="n">
        <f aca="false">IF(A733="",0,IF(ISNUMBER(F733),F733,IFERROR(INDEX(Items!$D$5:$D$304,MATCH(D733,Items!$A$5:$A$304,0)),0)))</f>
        <v>0</v>
      </c>
      <c r="L733" s="35" t="n">
        <f aca="false">ROUND(N(E733)*K733*(1-N(G733)),2)</f>
        <v>0</v>
      </c>
      <c r="M733" s="36" t="n">
        <f aca="false">IF(A733="",0,IFERROR(INDEX(Items!$E$5:$E$304,MATCH(D733,Items!$A$5:$A$304,0)),0))</f>
        <v>0</v>
      </c>
      <c r="N733" s="37" t="str">
        <f aca="false">IF(A733="","",IFERROR(INDEX(Customers!$E$5:$E$204,MATCH(C733,Customers!$A$5:$A$204,0)),"?"))</f>
        <v/>
      </c>
      <c r="O733" s="38" t="str">
        <f aca="false">IF(A733="","",IF(N733=Settings!$B$17,"No","Yes"))</f>
        <v/>
      </c>
      <c r="P733" s="35" t="n">
        <f aca="false">IF(O733="Yes",ROUND(L733*M733,2),0)</f>
        <v>0</v>
      </c>
      <c r="Q733" s="35" t="n">
        <f aca="false">IF(O733="No",ROUND(L733*M733/2,2),0)</f>
        <v>0</v>
      </c>
      <c r="R733" s="35" t="n">
        <f aca="false">Q733</f>
        <v>0</v>
      </c>
      <c r="S733" s="35" t="n">
        <f aca="false">L733+P733+Q733+R733</f>
        <v>0</v>
      </c>
      <c r="T733" s="34" t="str">
        <f aca="false">IF(A733="","",IFERROR(INDEX(Customers!$B$5:$B$204,MATCH(C733,Customers!$A$5:$A$204,0))&amp;"",""))</f>
        <v/>
      </c>
      <c r="U733" s="38" t="str">
        <f aca="false">IF(A733="","",IF(T733&lt;&gt;"","B2B",IF(AND(O733="Yes",SUMIF($A$5:$A$1004,A733,$L$5:$L$1004)+SUMIF($A$5:$A$1004,A733,$P$5:$P$1004)&gt;100000),"B2CL","B2CS")))</f>
        <v/>
      </c>
      <c r="V733" s="17" t="str">
        <f aca="false">IF(A733="","",TEXT(B733,"mmm-yyyy"))</f>
        <v/>
      </c>
    </row>
    <row r="734" customFormat="false" ht="15" hidden="false" customHeight="true" outlineLevel="0" collapsed="false">
      <c r="A734" s="24"/>
      <c r="B734" s="39"/>
      <c r="C734" s="24"/>
      <c r="D734" s="24"/>
      <c r="E734" s="40"/>
      <c r="F734" s="29"/>
      <c r="G734" s="30"/>
      <c r="H734" s="17" t="str">
        <f aca="false">IF(A734="","",A734&amp;"|"&amp;COUNTIF(A$5:A734,A734))</f>
        <v/>
      </c>
      <c r="I734" s="33" t="str">
        <f aca="false">IF(A734="","",IFERROR(INDEX(Items!$B$5:$B$304,MATCH(D734,Items!$A$5:$A$304,0))&amp;"",""))</f>
        <v/>
      </c>
      <c r="J734" s="34" t="str">
        <f aca="false">IF(A734="","",IFERROR(INDEX(Items!$C$5:$C$304,MATCH(D734,Items!$A$5:$A$304,0))&amp;"",""))</f>
        <v/>
      </c>
      <c r="K734" s="35" t="n">
        <f aca="false">IF(A734="",0,IF(ISNUMBER(F734),F734,IFERROR(INDEX(Items!$D$5:$D$304,MATCH(D734,Items!$A$5:$A$304,0)),0)))</f>
        <v>0</v>
      </c>
      <c r="L734" s="35" t="n">
        <f aca="false">ROUND(N(E734)*K734*(1-N(G734)),2)</f>
        <v>0</v>
      </c>
      <c r="M734" s="36" t="n">
        <f aca="false">IF(A734="",0,IFERROR(INDEX(Items!$E$5:$E$304,MATCH(D734,Items!$A$5:$A$304,0)),0))</f>
        <v>0</v>
      </c>
      <c r="N734" s="37" t="str">
        <f aca="false">IF(A734="","",IFERROR(INDEX(Customers!$E$5:$E$204,MATCH(C734,Customers!$A$5:$A$204,0)),"?"))</f>
        <v/>
      </c>
      <c r="O734" s="38" t="str">
        <f aca="false">IF(A734="","",IF(N734=Settings!$B$17,"No","Yes"))</f>
        <v/>
      </c>
      <c r="P734" s="35" t="n">
        <f aca="false">IF(O734="Yes",ROUND(L734*M734,2),0)</f>
        <v>0</v>
      </c>
      <c r="Q734" s="35" t="n">
        <f aca="false">IF(O734="No",ROUND(L734*M734/2,2),0)</f>
        <v>0</v>
      </c>
      <c r="R734" s="35" t="n">
        <f aca="false">Q734</f>
        <v>0</v>
      </c>
      <c r="S734" s="35" t="n">
        <f aca="false">L734+P734+Q734+R734</f>
        <v>0</v>
      </c>
      <c r="T734" s="34" t="str">
        <f aca="false">IF(A734="","",IFERROR(INDEX(Customers!$B$5:$B$204,MATCH(C734,Customers!$A$5:$A$204,0))&amp;"",""))</f>
        <v/>
      </c>
      <c r="U734" s="38" t="str">
        <f aca="false">IF(A734="","",IF(T734&lt;&gt;"","B2B",IF(AND(O734="Yes",SUMIF($A$5:$A$1004,A734,$L$5:$L$1004)+SUMIF($A$5:$A$1004,A734,$P$5:$P$1004)&gt;100000),"B2CL","B2CS")))</f>
        <v/>
      </c>
      <c r="V734" s="17" t="str">
        <f aca="false">IF(A734="","",TEXT(B734,"mmm-yyyy"))</f>
        <v/>
      </c>
    </row>
    <row r="735" customFormat="false" ht="15" hidden="false" customHeight="true" outlineLevel="0" collapsed="false">
      <c r="A735" s="24"/>
      <c r="B735" s="39"/>
      <c r="C735" s="24"/>
      <c r="D735" s="24"/>
      <c r="E735" s="40"/>
      <c r="F735" s="29"/>
      <c r="G735" s="30"/>
      <c r="H735" s="17" t="str">
        <f aca="false">IF(A735="","",A735&amp;"|"&amp;COUNTIF(A$5:A735,A735))</f>
        <v/>
      </c>
      <c r="I735" s="33" t="str">
        <f aca="false">IF(A735="","",IFERROR(INDEX(Items!$B$5:$B$304,MATCH(D735,Items!$A$5:$A$304,0))&amp;"",""))</f>
        <v/>
      </c>
      <c r="J735" s="34" t="str">
        <f aca="false">IF(A735="","",IFERROR(INDEX(Items!$C$5:$C$304,MATCH(D735,Items!$A$5:$A$304,0))&amp;"",""))</f>
        <v/>
      </c>
      <c r="K735" s="35" t="n">
        <f aca="false">IF(A735="",0,IF(ISNUMBER(F735),F735,IFERROR(INDEX(Items!$D$5:$D$304,MATCH(D735,Items!$A$5:$A$304,0)),0)))</f>
        <v>0</v>
      </c>
      <c r="L735" s="35" t="n">
        <f aca="false">ROUND(N(E735)*K735*(1-N(G735)),2)</f>
        <v>0</v>
      </c>
      <c r="M735" s="36" t="n">
        <f aca="false">IF(A735="",0,IFERROR(INDEX(Items!$E$5:$E$304,MATCH(D735,Items!$A$5:$A$304,0)),0))</f>
        <v>0</v>
      </c>
      <c r="N735" s="37" t="str">
        <f aca="false">IF(A735="","",IFERROR(INDEX(Customers!$E$5:$E$204,MATCH(C735,Customers!$A$5:$A$204,0)),"?"))</f>
        <v/>
      </c>
      <c r="O735" s="38" t="str">
        <f aca="false">IF(A735="","",IF(N735=Settings!$B$17,"No","Yes"))</f>
        <v/>
      </c>
      <c r="P735" s="35" t="n">
        <f aca="false">IF(O735="Yes",ROUND(L735*M735,2),0)</f>
        <v>0</v>
      </c>
      <c r="Q735" s="35" t="n">
        <f aca="false">IF(O735="No",ROUND(L735*M735/2,2),0)</f>
        <v>0</v>
      </c>
      <c r="R735" s="35" t="n">
        <f aca="false">Q735</f>
        <v>0</v>
      </c>
      <c r="S735" s="35" t="n">
        <f aca="false">L735+P735+Q735+R735</f>
        <v>0</v>
      </c>
      <c r="T735" s="34" t="str">
        <f aca="false">IF(A735="","",IFERROR(INDEX(Customers!$B$5:$B$204,MATCH(C735,Customers!$A$5:$A$204,0))&amp;"",""))</f>
        <v/>
      </c>
      <c r="U735" s="38" t="str">
        <f aca="false">IF(A735="","",IF(T735&lt;&gt;"","B2B",IF(AND(O735="Yes",SUMIF($A$5:$A$1004,A735,$L$5:$L$1004)+SUMIF($A$5:$A$1004,A735,$P$5:$P$1004)&gt;100000),"B2CL","B2CS")))</f>
        <v/>
      </c>
      <c r="V735" s="17" t="str">
        <f aca="false">IF(A735="","",TEXT(B735,"mmm-yyyy"))</f>
        <v/>
      </c>
    </row>
    <row r="736" customFormat="false" ht="15" hidden="false" customHeight="true" outlineLevel="0" collapsed="false">
      <c r="A736" s="24"/>
      <c r="B736" s="39"/>
      <c r="C736" s="24"/>
      <c r="D736" s="24"/>
      <c r="E736" s="40"/>
      <c r="F736" s="29"/>
      <c r="G736" s="30"/>
      <c r="H736" s="17" t="str">
        <f aca="false">IF(A736="","",A736&amp;"|"&amp;COUNTIF(A$5:A736,A736))</f>
        <v/>
      </c>
      <c r="I736" s="33" t="str">
        <f aca="false">IF(A736="","",IFERROR(INDEX(Items!$B$5:$B$304,MATCH(D736,Items!$A$5:$A$304,0))&amp;"",""))</f>
        <v/>
      </c>
      <c r="J736" s="34" t="str">
        <f aca="false">IF(A736="","",IFERROR(INDEX(Items!$C$5:$C$304,MATCH(D736,Items!$A$5:$A$304,0))&amp;"",""))</f>
        <v/>
      </c>
      <c r="K736" s="35" t="n">
        <f aca="false">IF(A736="",0,IF(ISNUMBER(F736),F736,IFERROR(INDEX(Items!$D$5:$D$304,MATCH(D736,Items!$A$5:$A$304,0)),0)))</f>
        <v>0</v>
      </c>
      <c r="L736" s="35" t="n">
        <f aca="false">ROUND(N(E736)*K736*(1-N(G736)),2)</f>
        <v>0</v>
      </c>
      <c r="M736" s="36" t="n">
        <f aca="false">IF(A736="",0,IFERROR(INDEX(Items!$E$5:$E$304,MATCH(D736,Items!$A$5:$A$304,0)),0))</f>
        <v>0</v>
      </c>
      <c r="N736" s="37" t="str">
        <f aca="false">IF(A736="","",IFERROR(INDEX(Customers!$E$5:$E$204,MATCH(C736,Customers!$A$5:$A$204,0)),"?"))</f>
        <v/>
      </c>
      <c r="O736" s="38" t="str">
        <f aca="false">IF(A736="","",IF(N736=Settings!$B$17,"No","Yes"))</f>
        <v/>
      </c>
      <c r="P736" s="35" t="n">
        <f aca="false">IF(O736="Yes",ROUND(L736*M736,2),0)</f>
        <v>0</v>
      </c>
      <c r="Q736" s="35" t="n">
        <f aca="false">IF(O736="No",ROUND(L736*M736/2,2),0)</f>
        <v>0</v>
      </c>
      <c r="R736" s="35" t="n">
        <f aca="false">Q736</f>
        <v>0</v>
      </c>
      <c r="S736" s="35" t="n">
        <f aca="false">L736+P736+Q736+R736</f>
        <v>0</v>
      </c>
      <c r="T736" s="34" t="str">
        <f aca="false">IF(A736="","",IFERROR(INDEX(Customers!$B$5:$B$204,MATCH(C736,Customers!$A$5:$A$204,0))&amp;"",""))</f>
        <v/>
      </c>
      <c r="U736" s="38" t="str">
        <f aca="false">IF(A736="","",IF(T736&lt;&gt;"","B2B",IF(AND(O736="Yes",SUMIF($A$5:$A$1004,A736,$L$5:$L$1004)+SUMIF($A$5:$A$1004,A736,$P$5:$P$1004)&gt;100000),"B2CL","B2CS")))</f>
        <v/>
      </c>
      <c r="V736" s="17" t="str">
        <f aca="false">IF(A736="","",TEXT(B736,"mmm-yyyy"))</f>
        <v/>
      </c>
    </row>
    <row r="737" customFormat="false" ht="15" hidden="false" customHeight="true" outlineLevel="0" collapsed="false">
      <c r="A737" s="24"/>
      <c r="B737" s="39"/>
      <c r="C737" s="24"/>
      <c r="D737" s="24"/>
      <c r="E737" s="40"/>
      <c r="F737" s="29"/>
      <c r="G737" s="30"/>
      <c r="H737" s="17" t="str">
        <f aca="false">IF(A737="","",A737&amp;"|"&amp;COUNTIF(A$5:A737,A737))</f>
        <v/>
      </c>
      <c r="I737" s="33" t="str">
        <f aca="false">IF(A737="","",IFERROR(INDEX(Items!$B$5:$B$304,MATCH(D737,Items!$A$5:$A$304,0))&amp;"",""))</f>
        <v/>
      </c>
      <c r="J737" s="34" t="str">
        <f aca="false">IF(A737="","",IFERROR(INDEX(Items!$C$5:$C$304,MATCH(D737,Items!$A$5:$A$304,0))&amp;"",""))</f>
        <v/>
      </c>
      <c r="K737" s="35" t="n">
        <f aca="false">IF(A737="",0,IF(ISNUMBER(F737),F737,IFERROR(INDEX(Items!$D$5:$D$304,MATCH(D737,Items!$A$5:$A$304,0)),0)))</f>
        <v>0</v>
      </c>
      <c r="L737" s="35" t="n">
        <f aca="false">ROUND(N(E737)*K737*(1-N(G737)),2)</f>
        <v>0</v>
      </c>
      <c r="M737" s="36" t="n">
        <f aca="false">IF(A737="",0,IFERROR(INDEX(Items!$E$5:$E$304,MATCH(D737,Items!$A$5:$A$304,0)),0))</f>
        <v>0</v>
      </c>
      <c r="N737" s="37" t="str">
        <f aca="false">IF(A737="","",IFERROR(INDEX(Customers!$E$5:$E$204,MATCH(C737,Customers!$A$5:$A$204,0)),"?"))</f>
        <v/>
      </c>
      <c r="O737" s="38" t="str">
        <f aca="false">IF(A737="","",IF(N737=Settings!$B$17,"No","Yes"))</f>
        <v/>
      </c>
      <c r="P737" s="35" t="n">
        <f aca="false">IF(O737="Yes",ROUND(L737*M737,2),0)</f>
        <v>0</v>
      </c>
      <c r="Q737" s="35" t="n">
        <f aca="false">IF(O737="No",ROUND(L737*M737/2,2),0)</f>
        <v>0</v>
      </c>
      <c r="R737" s="35" t="n">
        <f aca="false">Q737</f>
        <v>0</v>
      </c>
      <c r="S737" s="35" t="n">
        <f aca="false">L737+P737+Q737+R737</f>
        <v>0</v>
      </c>
      <c r="T737" s="34" t="str">
        <f aca="false">IF(A737="","",IFERROR(INDEX(Customers!$B$5:$B$204,MATCH(C737,Customers!$A$5:$A$204,0))&amp;"",""))</f>
        <v/>
      </c>
      <c r="U737" s="38" t="str">
        <f aca="false">IF(A737="","",IF(T737&lt;&gt;"","B2B",IF(AND(O737="Yes",SUMIF($A$5:$A$1004,A737,$L$5:$L$1004)+SUMIF($A$5:$A$1004,A737,$P$5:$P$1004)&gt;100000),"B2CL","B2CS")))</f>
        <v/>
      </c>
      <c r="V737" s="17" t="str">
        <f aca="false">IF(A737="","",TEXT(B737,"mmm-yyyy"))</f>
        <v/>
      </c>
    </row>
    <row r="738" customFormat="false" ht="15" hidden="false" customHeight="true" outlineLevel="0" collapsed="false">
      <c r="A738" s="24"/>
      <c r="B738" s="39"/>
      <c r="C738" s="24"/>
      <c r="D738" s="24"/>
      <c r="E738" s="40"/>
      <c r="F738" s="29"/>
      <c r="G738" s="30"/>
      <c r="H738" s="17" t="str">
        <f aca="false">IF(A738="","",A738&amp;"|"&amp;COUNTIF(A$5:A738,A738))</f>
        <v/>
      </c>
      <c r="I738" s="33" t="str">
        <f aca="false">IF(A738="","",IFERROR(INDEX(Items!$B$5:$B$304,MATCH(D738,Items!$A$5:$A$304,0))&amp;"",""))</f>
        <v/>
      </c>
      <c r="J738" s="34" t="str">
        <f aca="false">IF(A738="","",IFERROR(INDEX(Items!$C$5:$C$304,MATCH(D738,Items!$A$5:$A$304,0))&amp;"",""))</f>
        <v/>
      </c>
      <c r="K738" s="35" t="n">
        <f aca="false">IF(A738="",0,IF(ISNUMBER(F738),F738,IFERROR(INDEX(Items!$D$5:$D$304,MATCH(D738,Items!$A$5:$A$304,0)),0)))</f>
        <v>0</v>
      </c>
      <c r="L738" s="35" t="n">
        <f aca="false">ROUND(N(E738)*K738*(1-N(G738)),2)</f>
        <v>0</v>
      </c>
      <c r="M738" s="36" t="n">
        <f aca="false">IF(A738="",0,IFERROR(INDEX(Items!$E$5:$E$304,MATCH(D738,Items!$A$5:$A$304,0)),0))</f>
        <v>0</v>
      </c>
      <c r="N738" s="37" t="str">
        <f aca="false">IF(A738="","",IFERROR(INDEX(Customers!$E$5:$E$204,MATCH(C738,Customers!$A$5:$A$204,0)),"?"))</f>
        <v/>
      </c>
      <c r="O738" s="38" t="str">
        <f aca="false">IF(A738="","",IF(N738=Settings!$B$17,"No","Yes"))</f>
        <v/>
      </c>
      <c r="P738" s="35" t="n">
        <f aca="false">IF(O738="Yes",ROUND(L738*M738,2),0)</f>
        <v>0</v>
      </c>
      <c r="Q738" s="35" t="n">
        <f aca="false">IF(O738="No",ROUND(L738*M738/2,2),0)</f>
        <v>0</v>
      </c>
      <c r="R738" s="35" t="n">
        <f aca="false">Q738</f>
        <v>0</v>
      </c>
      <c r="S738" s="35" t="n">
        <f aca="false">L738+P738+Q738+R738</f>
        <v>0</v>
      </c>
      <c r="T738" s="34" t="str">
        <f aca="false">IF(A738="","",IFERROR(INDEX(Customers!$B$5:$B$204,MATCH(C738,Customers!$A$5:$A$204,0))&amp;"",""))</f>
        <v/>
      </c>
      <c r="U738" s="38" t="str">
        <f aca="false">IF(A738="","",IF(T738&lt;&gt;"","B2B",IF(AND(O738="Yes",SUMIF($A$5:$A$1004,A738,$L$5:$L$1004)+SUMIF($A$5:$A$1004,A738,$P$5:$P$1004)&gt;100000),"B2CL","B2CS")))</f>
        <v/>
      </c>
      <c r="V738" s="17" t="str">
        <f aca="false">IF(A738="","",TEXT(B738,"mmm-yyyy"))</f>
        <v/>
      </c>
    </row>
    <row r="739" customFormat="false" ht="15" hidden="false" customHeight="true" outlineLevel="0" collapsed="false">
      <c r="A739" s="24"/>
      <c r="B739" s="39"/>
      <c r="C739" s="24"/>
      <c r="D739" s="24"/>
      <c r="E739" s="40"/>
      <c r="F739" s="29"/>
      <c r="G739" s="30"/>
      <c r="H739" s="17" t="str">
        <f aca="false">IF(A739="","",A739&amp;"|"&amp;COUNTIF(A$5:A739,A739))</f>
        <v/>
      </c>
      <c r="I739" s="33" t="str">
        <f aca="false">IF(A739="","",IFERROR(INDEX(Items!$B$5:$B$304,MATCH(D739,Items!$A$5:$A$304,0))&amp;"",""))</f>
        <v/>
      </c>
      <c r="J739" s="34" t="str">
        <f aca="false">IF(A739="","",IFERROR(INDEX(Items!$C$5:$C$304,MATCH(D739,Items!$A$5:$A$304,0))&amp;"",""))</f>
        <v/>
      </c>
      <c r="K739" s="35" t="n">
        <f aca="false">IF(A739="",0,IF(ISNUMBER(F739),F739,IFERROR(INDEX(Items!$D$5:$D$304,MATCH(D739,Items!$A$5:$A$304,0)),0)))</f>
        <v>0</v>
      </c>
      <c r="L739" s="35" t="n">
        <f aca="false">ROUND(N(E739)*K739*(1-N(G739)),2)</f>
        <v>0</v>
      </c>
      <c r="M739" s="36" t="n">
        <f aca="false">IF(A739="",0,IFERROR(INDEX(Items!$E$5:$E$304,MATCH(D739,Items!$A$5:$A$304,0)),0))</f>
        <v>0</v>
      </c>
      <c r="N739" s="37" t="str">
        <f aca="false">IF(A739="","",IFERROR(INDEX(Customers!$E$5:$E$204,MATCH(C739,Customers!$A$5:$A$204,0)),"?"))</f>
        <v/>
      </c>
      <c r="O739" s="38" t="str">
        <f aca="false">IF(A739="","",IF(N739=Settings!$B$17,"No","Yes"))</f>
        <v/>
      </c>
      <c r="P739" s="35" t="n">
        <f aca="false">IF(O739="Yes",ROUND(L739*M739,2),0)</f>
        <v>0</v>
      </c>
      <c r="Q739" s="35" t="n">
        <f aca="false">IF(O739="No",ROUND(L739*M739/2,2),0)</f>
        <v>0</v>
      </c>
      <c r="R739" s="35" t="n">
        <f aca="false">Q739</f>
        <v>0</v>
      </c>
      <c r="S739" s="35" t="n">
        <f aca="false">L739+P739+Q739+R739</f>
        <v>0</v>
      </c>
      <c r="T739" s="34" t="str">
        <f aca="false">IF(A739="","",IFERROR(INDEX(Customers!$B$5:$B$204,MATCH(C739,Customers!$A$5:$A$204,0))&amp;"",""))</f>
        <v/>
      </c>
      <c r="U739" s="38" t="str">
        <f aca="false">IF(A739="","",IF(T739&lt;&gt;"","B2B",IF(AND(O739="Yes",SUMIF($A$5:$A$1004,A739,$L$5:$L$1004)+SUMIF($A$5:$A$1004,A739,$P$5:$P$1004)&gt;100000),"B2CL","B2CS")))</f>
        <v/>
      </c>
      <c r="V739" s="17" t="str">
        <f aca="false">IF(A739="","",TEXT(B739,"mmm-yyyy"))</f>
        <v/>
      </c>
    </row>
    <row r="740" customFormat="false" ht="15" hidden="false" customHeight="true" outlineLevel="0" collapsed="false">
      <c r="A740" s="24"/>
      <c r="B740" s="39"/>
      <c r="C740" s="24"/>
      <c r="D740" s="24"/>
      <c r="E740" s="40"/>
      <c r="F740" s="29"/>
      <c r="G740" s="30"/>
      <c r="H740" s="17" t="str">
        <f aca="false">IF(A740="","",A740&amp;"|"&amp;COUNTIF(A$5:A740,A740))</f>
        <v/>
      </c>
      <c r="I740" s="33" t="str">
        <f aca="false">IF(A740="","",IFERROR(INDEX(Items!$B$5:$B$304,MATCH(D740,Items!$A$5:$A$304,0))&amp;"",""))</f>
        <v/>
      </c>
      <c r="J740" s="34" t="str">
        <f aca="false">IF(A740="","",IFERROR(INDEX(Items!$C$5:$C$304,MATCH(D740,Items!$A$5:$A$304,0))&amp;"",""))</f>
        <v/>
      </c>
      <c r="K740" s="35" t="n">
        <f aca="false">IF(A740="",0,IF(ISNUMBER(F740),F740,IFERROR(INDEX(Items!$D$5:$D$304,MATCH(D740,Items!$A$5:$A$304,0)),0)))</f>
        <v>0</v>
      </c>
      <c r="L740" s="35" t="n">
        <f aca="false">ROUND(N(E740)*K740*(1-N(G740)),2)</f>
        <v>0</v>
      </c>
      <c r="M740" s="36" t="n">
        <f aca="false">IF(A740="",0,IFERROR(INDEX(Items!$E$5:$E$304,MATCH(D740,Items!$A$5:$A$304,0)),0))</f>
        <v>0</v>
      </c>
      <c r="N740" s="37" t="str">
        <f aca="false">IF(A740="","",IFERROR(INDEX(Customers!$E$5:$E$204,MATCH(C740,Customers!$A$5:$A$204,0)),"?"))</f>
        <v/>
      </c>
      <c r="O740" s="38" t="str">
        <f aca="false">IF(A740="","",IF(N740=Settings!$B$17,"No","Yes"))</f>
        <v/>
      </c>
      <c r="P740" s="35" t="n">
        <f aca="false">IF(O740="Yes",ROUND(L740*M740,2),0)</f>
        <v>0</v>
      </c>
      <c r="Q740" s="35" t="n">
        <f aca="false">IF(O740="No",ROUND(L740*M740/2,2),0)</f>
        <v>0</v>
      </c>
      <c r="R740" s="35" t="n">
        <f aca="false">Q740</f>
        <v>0</v>
      </c>
      <c r="S740" s="35" t="n">
        <f aca="false">L740+P740+Q740+R740</f>
        <v>0</v>
      </c>
      <c r="T740" s="34" t="str">
        <f aca="false">IF(A740="","",IFERROR(INDEX(Customers!$B$5:$B$204,MATCH(C740,Customers!$A$5:$A$204,0))&amp;"",""))</f>
        <v/>
      </c>
      <c r="U740" s="38" t="str">
        <f aca="false">IF(A740="","",IF(T740&lt;&gt;"","B2B",IF(AND(O740="Yes",SUMIF($A$5:$A$1004,A740,$L$5:$L$1004)+SUMIF($A$5:$A$1004,A740,$P$5:$P$1004)&gt;100000),"B2CL","B2CS")))</f>
        <v/>
      </c>
      <c r="V740" s="17" t="str">
        <f aca="false">IF(A740="","",TEXT(B740,"mmm-yyyy"))</f>
        <v/>
      </c>
    </row>
    <row r="741" customFormat="false" ht="15" hidden="false" customHeight="true" outlineLevel="0" collapsed="false">
      <c r="A741" s="24"/>
      <c r="B741" s="39"/>
      <c r="C741" s="24"/>
      <c r="D741" s="24"/>
      <c r="E741" s="40"/>
      <c r="F741" s="29"/>
      <c r="G741" s="30"/>
      <c r="H741" s="17" t="str">
        <f aca="false">IF(A741="","",A741&amp;"|"&amp;COUNTIF(A$5:A741,A741))</f>
        <v/>
      </c>
      <c r="I741" s="33" t="str">
        <f aca="false">IF(A741="","",IFERROR(INDEX(Items!$B$5:$B$304,MATCH(D741,Items!$A$5:$A$304,0))&amp;"",""))</f>
        <v/>
      </c>
      <c r="J741" s="34" t="str">
        <f aca="false">IF(A741="","",IFERROR(INDEX(Items!$C$5:$C$304,MATCH(D741,Items!$A$5:$A$304,0))&amp;"",""))</f>
        <v/>
      </c>
      <c r="K741" s="35" t="n">
        <f aca="false">IF(A741="",0,IF(ISNUMBER(F741),F741,IFERROR(INDEX(Items!$D$5:$D$304,MATCH(D741,Items!$A$5:$A$304,0)),0)))</f>
        <v>0</v>
      </c>
      <c r="L741" s="35" t="n">
        <f aca="false">ROUND(N(E741)*K741*(1-N(G741)),2)</f>
        <v>0</v>
      </c>
      <c r="M741" s="36" t="n">
        <f aca="false">IF(A741="",0,IFERROR(INDEX(Items!$E$5:$E$304,MATCH(D741,Items!$A$5:$A$304,0)),0))</f>
        <v>0</v>
      </c>
      <c r="N741" s="37" t="str">
        <f aca="false">IF(A741="","",IFERROR(INDEX(Customers!$E$5:$E$204,MATCH(C741,Customers!$A$5:$A$204,0)),"?"))</f>
        <v/>
      </c>
      <c r="O741" s="38" t="str">
        <f aca="false">IF(A741="","",IF(N741=Settings!$B$17,"No","Yes"))</f>
        <v/>
      </c>
      <c r="P741" s="35" t="n">
        <f aca="false">IF(O741="Yes",ROUND(L741*M741,2),0)</f>
        <v>0</v>
      </c>
      <c r="Q741" s="35" t="n">
        <f aca="false">IF(O741="No",ROUND(L741*M741/2,2),0)</f>
        <v>0</v>
      </c>
      <c r="R741" s="35" t="n">
        <f aca="false">Q741</f>
        <v>0</v>
      </c>
      <c r="S741" s="35" t="n">
        <f aca="false">L741+P741+Q741+R741</f>
        <v>0</v>
      </c>
      <c r="T741" s="34" t="str">
        <f aca="false">IF(A741="","",IFERROR(INDEX(Customers!$B$5:$B$204,MATCH(C741,Customers!$A$5:$A$204,0))&amp;"",""))</f>
        <v/>
      </c>
      <c r="U741" s="38" t="str">
        <f aca="false">IF(A741="","",IF(T741&lt;&gt;"","B2B",IF(AND(O741="Yes",SUMIF($A$5:$A$1004,A741,$L$5:$L$1004)+SUMIF($A$5:$A$1004,A741,$P$5:$P$1004)&gt;100000),"B2CL","B2CS")))</f>
        <v/>
      </c>
      <c r="V741" s="17" t="str">
        <f aca="false">IF(A741="","",TEXT(B741,"mmm-yyyy"))</f>
        <v/>
      </c>
    </row>
    <row r="742" customFormat="false" ht="15" hidden="false" customHeight="true" outlineLevel="0" collapsed="false">
      <c r="A742" s="24"/>
      <c r="B742" s="39"/>
      <c r="C742" s="24"/>
      <c r="D742" s="24"/>
      <c r="E742" s="40"/>
      <c r="F742" s="29"/>
      <c r="G742" s="30"/>
      <c r="H742" s="17" t="str">
        <f aca="false">IF(A742="","",A742&amp;"|"&amp;COUNTIF(A$5:A742,A742))</f>
        <v/>
      </c>
      <c r="I742" s="33" t="str">
        <f aca="false">IF(A742="","",IFERROR(INDEX(Items!$B$5:$B$304,MATCH(D742,Items!$A$5:$A$304,0))&amp;"",""))</f>
        <v/>
      </c>
      <c r="J742" s="34" t="str">
        <f aca="false">IF(A742="","",IFERROR(INDEX(Items!$C$5:$C$304,MATCH(D742,Items!$A$5:$A$304,0))&amp;"",""))</f>
        <v/>
      </c>
      <c r="K742" s="35" t="n">
        <f aca="false">IF(A742="",0,IF(ISNUMBER(F742),F742,IFERROR(INDEX(Items!$D$5:$D$304,MATCH(D742,Items!$A$5:$A$304,0)),0)))</f>
        <v>0</v>
      </c>
      <c r="L742" s="35" t="n">
        <f aca="false">ROUND(N(E742)*K742*(1-N(G742)),2)</f>
        <v>0</v>
      </c>
      <c r="M742" s="36" t="n">
        <f aca="false">IF(A742="",0,IFERROR(INDEX(Items!$E$5:$E$304,MATCH(D742,Items!$A$5:$A$304,0)),0))</f>
        <v>0</v>
      </c>
      <c r="N742" s="37" t="str">
        <f aca="false">IF(A742="","",IFERROR(INDEX(Customers!$E$5:$E$204,MATCH(C742,Customers!$A$5:$A$204,0)),"?"))</f>
        <v/>
      </c>
      <c r="O742" s="38" t="str">
        <f aca="false">IF(A742="","",IF(N742=Settings!$B$17,"No","Yes"))</f>
        <v/>
      </c>
      <c r="P742" s="35" t="n">
        <f aca="false">IF(O742="Yes",ROUND(L742*M742,2),0)</f>
        <v>0</v>
      </c>
      <c r="Q742" s="35" t="n">
        <f aca="false">IF(O742="No",ROUND(L742*M742/2,2),0)</f>
        <v>0</v>
      </c>
      <c r="R742" s="35" t="n">
        <f aca="false">Q742</f>
        <v>0</v>
      </c>
      <c r="S742" s="35" t="n">
        <f aca="false">L742+P742+Q742+R742</f>
        <v>0</v>
      </c>
      <c r="T742" s="34" t="str">
        <f aca="false">IF(A742="","",IFERROR(INDEX(Customers!$B$5:$B$204,MATCH(C742,Customers!$A$5:$A$204,0))&amp;"",""))</f>
        <v/>
      </c>
      <c r="U742" s="38" t="str">
        <f aca="false">IF(A742="","",IF(T742&lt;&gt;"","B2B",IF(AND(O742="Yes",SUMIF($A$5:$A$1004,A742,$L$5:$L$1004)+SUMIF($A$5:$A$1004,A742,$P$5:$P$1004)&gt;100000),"B2CL","B2CS")))</f>
        <v/>
      </c>
      <c r="V742" s="17" t="str">
        <f aca="false">IF(A742="","",TEXT(B742,"mmm-yyyy"))</f>
        <v/>
      </c>
    </row>
    <row r="743" customFormat="false" ht="15" hidden="false" customHeight="true" outlineLevel="0" collapsed="false">
      <c r="A743" s="24"/>
      <c r="B743" s="39"/>
      <c r="C743" s="24"/>
      <c r="D743" s="24"/>
      <c r="E743" s="40"/>
      <c r="F743" s="29"/>
      <c r="G743" s="30"/>
      <c r="H743" s="17" t="str">
        <f aca="false">IF(A743="","",A743&amp;"|"&amp;COUNTIF(A$5:A743,A743))</f>
        <v/>
      </c>
      <c r="I743" s="33" t="str">
        <f aca="false">IF(A743="","",IFERROR(INDEX(Items!$B$5:$B$304,MATCH(D743,Items!$A$5:$A$304,0))&amp;"",""))</f>
        <v/>
      </c>
      <c r="J743" s="34" t="str">
        <f aca="false">IF(A743="","",IFERROR(INDEX(Items!$C$5:$C$304,MATCH(D743,Items!$A$5:$A$304,0))&amp;"",""))</f>
        <v/>
      </c>
      <c r="K743" s="35" t="n">
        <f aca="false">IF(A743="",0,IF(ISNUMBER(F743),F743,IFERROR(INDEX(Items!$D$5:$D$304,MATCH(D743,Items!$A$5:$A$304,0)),0)))</f>
        <v>0</v>
      </c>
      <c r="L743" s="35" t="n">
        <f aca="false">ROUND(N(E743)*K743*(1-N(G743)),2)</f>
        <v>0</v>
      </c>
      <c r="M743" s="36" t="n">
        <f aca="false">IF(A743="",0,IFERROR(INDEX(Items!$E$5:$E$304,MATCH(D743,Items!$A$5:$A$304,0)),0))</f>
        <v>0</v>
      </c>
      <c r="N743" s="37" t="str">
        <f aca="false">IF(A743="","",IFERROR(INDEX(Customers!$E$5:$E$204,MATCH(C743,Customers!$A$5:$A$204,0)),"?"))</f>
        <v/>
      </c>
      <c r="O743" s="38" t="str">
        <f aca="false">IF(A743="","",IF(N743=Settings!$B$17,"No","Yes"))</f>
        <v/>
      </c>
      <c r="P743" s="35" t="n">
        <f aca="false">IF(O743="Yes",ROUND(L743*M743,2),0)</f>
        <v>0</v>
      </c>
      <c r="Q743" s="35" t="n">
        <f aca="false">IF(O743="No",ROUND(L743*M743/2,2),0)</f>
        <v>0</v>
      </c>
      <c r="R743" s="35" t="n">
        <f aca="false">Q743</f>
        <v>0</v>
      </c>
      <c r="S743" s="35" t="n">
        <f aca="false">L743+P743+Q743+R743</f>
        <v>0</v>
      </c>
      <c r="T743" s="34" t="str">
        <f aca="false">IF(A743="","",IFERROR(INDEX(Customers!$B$5:$B$204,MATCH(C743,Customers!$A$5:$A$204,0))&amp;"",""))</f>
        <v/>
      </c>
      <c r="U743" s="38" t="str">
        <f aca="false">IF(A743="","",IF(T743&lt;&gt;"","B2B",IF(AND(O743="Yes",SUMIF($A$5:$A$1004,A743,$L$5:$L$1004)+SUMIF($A$5:$A$1004,A743,$P$5:$P$1004)&gt;100000),"B2CL","B2CS")))</f>
        <v/>
      </c>
      <c r="V743" s="17" t="str">
        <f aca="false">IF(A743="","",TEXT(B743,"mmm-yyyy"))</f>
        <v/>
      </c>
    </row>
    <row r="744" customFormat="false" ht="15" hidden="false" customHeight="true" outlineLevel="0" collapsed="false">
      <c r="A744" s="24"/>
      <c r="B744" s="39"/>
      <c r="C744" s="24"/>
      <c r="D744" s="24"/>
      <c r="E744" s="40"/>
      <c r="F744" s="29"/>
      <c r="G744" s="30"/>
      <c r="H744" s="17" t="str">
        <f aca="false">IF(A744="","",A744&amp;"|"&amp;COUNTIF(A$5:A744,A744))</f>
        <v/>
      </c>
      <c r="I744" s="33" t="str">
        <f aca="false">IF(A744="","",IFERROR(INDEX(Items!$B$5:$B$304,MATCH(D744,Items!$A$5:$A$304,0))&amp;"",""))</f>
        <v/>
      </c>
      <c r="J744" s="34" t="str">
        <f aca="false">IF(A744="","",IFERROR(INDEX(Items!$C$5:$C$304,MATCH(D744,Items!$A$5:$A$304,0))&amp;"",""))</f>
        <v/>
      </c>
      <c r="K744" s="35" t="n">
        <f aca="false">IF(A744="",0,IF(ISNUMBER(F744),F744,IFERROR(INDEX(Items!$D$5:$D$304,MATCH(D744,Items!$A$5:$A$304,0)),0)))</f>
        <v>0</v>
      </c>
      <c r="L744" s="35" t="n">
        <f aca="false">ROUND(N(E744)*K744*(1-N(G744)),2)</f>
        <v>0</v>
      </c>
      <c r="M744" s="36" t="n">
        <f aca="false">IF(A744="",0,IFERROR(INDEX(Items!$E$5:$E$304,MATCH(D744,Items!$A$5:$A$304,0)),0))</f>
        <v>0</v>
      </c>
      <c r="N744" s="37" t="str">
        <f aca="false">IF(A744="","",IFERROR(INDEX(Customers!$E$5:$E$204,MATCH(C744,Customers!$A$5:$A$204,0)),"?"))</f>
        <v/>
      </c>
      <c r="O744" s="38" t="str">
        <f aca="false">IF(A744="","",IF(N744=Settings!$B$17,"No","Yes"))</f>
        <v/>
      </c>
      <c r="P744" s="35" t="n">
        <f aca="false">IF(O744="Yes",ROUND(L744*M744,2),0)</f>
        <v>0</v>
      </c>
      <c r="Q744" s="35" t="n">
        <f aca="false">IF(O744="No",ROUND(L744*M744/2,2),0)</f>
        <v>0</v>
      </c>
      <c r="R744" s="35" t="n">
        <f aca="false">Q744</f>
        <v>0</v>
      </c>
      <c r="S744" s="35" t="n">
        <f aca="false">L744+P744+Q744+R744</f>
        <v>0</v>
      </c>
      <c r="T744" s="34" t="str">
        <f aca="false">IF(A744="","",IFERROR(INDEX(Customers!$B$5:$B$204,MATCH(C744,Customers!$A$5:$A$204,0))&amp;"",""))</f>
        <v/>
      </c>
      <c r="U744" s="38" t="str">
        <f aca="false">IF(A744="","",IF(T744&lt;&gt;"","B2B",IF(AND(O744="Yes",SUMIF($A$5:$A$1004,A744,$L$5:$L$1004)+SUMIF($A$5:$A$1004,A744,$P$5:$P$1004)&gt;100000),"B2CL","B2CS")))</f>
        <v/>
      </c>
      <c r="V744" s="17" t="str">
        <f aca="false">IF(A744="","",TEXT(B744,"mmm-yyyy"))</f>
        <v/>
      </c>
    </row>
    <row r="745" customFormat="false" ht="15" hidden="false" customHeight="true" outlineLevel="0" collapsed="false">
      <c r="A745" s="24"/>
      <c r="B745" s="39"/>
      <c r="C745" s="24"/>
      <c r="D745" s="24"/>
      <c r="E745" s="40"/>
      <c r="F745" s="29"/>
      <c r="G745" s="30"/>
      <c r="H745" s="17" t="str">
        <f aca="false">IF(A745="","",A745&amp;"|"&amp;COUNTIF(A$5:A745,A745))</f>
        <v/>
      </c>
      <c r="I745" s="33" t="str">
        <f aca="false">IF(A745="","",IFERROR(INDEX(Items!$B$5:$B$304,MATCH(D745,Items!$A$5:$A$304,0))&amp;"",""))</f>
        <v/>
      </c>
      <c r="J745" s="34" t="str">
        <f aca="false">IF(A745="","",IFERROR(INDEX(Items!$C$5:$C$304,MATCH(D745,Items!$A$5:$A$304,0))&amp;"",""))</f>
        <v/>
      </c>
      <c r="K745" s="35" t="n">
        <f aca="false">IF(A745="",0,IF(ISNUMBER(F745),F745,IFERROR(INDEX(Items!$D$5:$D$304,MATCH(D745,Items!$A$5:$A$304,0)),0)))</f>
        <v>0</v>
      </c>
      <c r="L745" s="35" t="n">
        <f aca="false">ROUND(N(E745)*K745*(1-N(G745)),2)</f>
        <v>0</v>
      </c>
      <c r="M745" s="36" t="n">
        <f aca="false">IF(A745="",0,IFERROR(INDEX(Items!$E$5:$E$304,MATCH(D745,Items!$A$5:$A$304,0)),0))</f>
        <v>0</v>
      </c>
      <c r="N745" s="37" t="str">
        <f aca="false">IF(A745="","",IFERROR(INDEX(Customers!$E$5:$E$204,MATCH(C745,Customers!$A$5:$A$204,0)),"?"))</f>
        <v/>
      </c>
      <c r="O745" s="38" t="str">
        <f aca="false">IF(A745="","",IF(N745=Settings!$B$17,"No","Yes"))</f>
        <v/>
      </c>
      <c r="P745" s="35" t="n">
        <f aca="false">IF(O745="Yes",ROUND(L745*M745,2),0)</f>
        <v>0</v>
      </c>
      <c r="Q745" s="35" t="n">
        <f aca="false">IF(O745="No",ROUND(L745*M745/2,2),0)</f>
        <v>0</v>
      </c>
      <c r="R745" s="35" t="n">
        <f aca="false">Q745</f>
        <v>0</v>
      </c>
      <c r="S745" s="35" t="n">
        <f aca="false">L745+P745+Q745+R745</f>
        <v>0</v>
      </c>
      <c r="T745" s="34" t="str">
        <f aca="false">IF(A745="","",IFERROR(INDEX(Customers!$B$5:$B$204,MATCH(C745,Customers!$A$5:$A$204,0))&amp;"",""))</f>
        <v/>
      </c>
      <c r="U745" s="38" t="str">
        <f aca="false">IF(A745="","",IF(T745&lt;&gt;"","B2B",IF(AND(O745="Yes",SUMIF($A$5:$A$1004,A745,$L$5:$L$1004)+SUMIF($A$5:$A$1004,A745,$P$5:$P$1004)&gt;100000),"B2CL","B2CS")))</f>
        <v/>
      </c>
      <c r="V745" s="17" t="str">
        <f aca="false">IF(A745="","",TEXT(B745,"mmm-yyyy"))</f>
        <v/>
      </c>
    </row>
    <row r="746" customFormat="false" ht="15" hidden="false" customHeight="true" outlineLevel="0" collapsed="false">
      <c r="A746" s="24"/>
      <c r="B746" s="39"/>
      <c r="C746" s="24"/>
      <c r="D746" s="24"/>
      <c r="E746" s="40"/>
      <c r="F746" s="29"/>
      <c r="G746" s="30"/>
      <c r="H746" s="17" t="str">
        <f aca="false">IF(A746="","",A746&amp;"|"&amp;COUNTIF(A$5:A746,A746))</f>
        <v/>
      </c>
      <c r="I746" s="33" t="str">
        <f aca="false">IF(A746="","",IFERROR(INDEX(Items!$B$5:$B$304,MATCH(D746,Items!$A$5:$A$304,0))&amp;"",""))</f>
        <v/>
      </c>
      <c r="J746" s="34" t="str">
        <f aca="false">IF(A746="","",IFERROR(INDEX(Items!$C$5:$C$304,MATCH(D746,Items!$A$5:$A$304,0))&amp;"",""))</f>
        <v/>
      </c>
      <c r="K746" s="35" t="n">
        <f aca="false">IF(A746="",0,IF(ISNUMBER(F746),F746,IFERROR(INDEX(Items!$D$5:$D$304,MATCH(D746,Items!$A$5:$A$304,0)),0)))</f>
        <v>0</v>
      </c>
      <c r="L746" s="35" t="n">
        <f aca="false">ROUND(N(E746)*K746*(1-N(G746)),2)</f>
        <v>0</v>
      </c>
      <c r="M746" s="36" t="n">
        <f aca="false">IF(A746="",0,IFERROR(INDEX(Items!$E$5:$E$304,MATCH(D746,Items!$A$5:$A$304,0)),0))</f>
        <v>0</v>
      </c>
      <c r="N746" s="37" t="str">
        <f aca="false">IF(A746="","",IFERROR(INDEX(Customers!$E$5:$E$204,MATCH(C746,Customers!$A$5:$A$204,0)),"?"))</f>
        <v/>
      </c>
      <c r="O746" s="38" t="str">
        <f aca="false">IF(A746="","",IF(N746=Settings!$B$17,"No","Yes"))</f>
        <v/>
      </c>
      <c r="P746" s="35" t="n">
        <f aca="false">IF(O746="Yes",ROUND(L746*M746,2),0)</f>
        <v>0</v>
      </c>
      <c r="Q746" s="35" t="n">
        <f aca="false">IF(O746="No",ROUND(L746*M746/2,2),0)</f>
        <v>0</v>
      </c>
      <c r="R746" s="35" t="n">
        <f aca="false">Q746</f>
        <v>0</v>
      </c>
      <c r="S746" s="35" t="n">
        <f aca="false">L746+P746+Q746+R746</f>
        <v>0</v>
      </c>
      <c r="T746" s="34" t="str">
        <f aca="false">IF(A746="","",IFERROR(INDEX(Customers!$B$5:$B$204,MATCH(C746,Customers!$A$5:$A$204,0))&amp;"",""))</f>
        <v/>
      </c>
      <c r="U746" s="38" t="str">
        <f aca="false">IF(A746="","",IF(T746&lt;&gt;"","B2B",IF(AND(O746="Yes",SUMIF($A$5:$A$1004,A746,$L$5:$L$1004)+SUMIF($A$5:$A$1004,A746,$P$5:$P$1004)&gt;100000),"B2CL","B2CS")))</f>
        <v/>
      </c>
      <c r="V746" s="17" t="str">
        <f aca="false">IF(A746="","",TEXT(B746,"mmm-yyyy"))</f>
        <v/>
      </c>
    </row>
    <row r="747" customFormat="false" ht="15" hidden="false" customHeight="true" outlineLevel="0" collapsed="false">
      <c r="A747" s="24"/>
      <c r="B747" s="39"/>
      <c r="C747" s="24"/>
      <c r="D747" s="24"/>
      <c r="E747" s="40"/>
      <c r="F747" s="29"/>
      <c r="G747" s="30"/>
      <c r="H747" s="17" t="str">
        <f aca="false">IF(A747="","",A747&amp;"|"&amp;COUNTIF(A$5:A747,A747))</f>
        <v/>
      </c>
      <c r="I747" s="33" t="str">
        <f aca="false">IF(A747="","",IFERROR(INDEX(Items!$B$5:$B$304,MATCH(D747,Items!$A$5:$A$304,0))&amp;"",""))</f>
        <v/>
      </c>
      <c r="J747" s="34" t="str">
        <f aca="false">IF(A747="","",IFERROR(INDEX(Items!$C$5:$C$304,MATCH(D747,Items!$A$5:$A$304,0))&amp;"",""))</f>
        <v/>
      </c>
      <c r="K747" s="35" t="n">
        <f aca="false">IF(A747="",0,IF(ISNUMBER(F747),F747,IFERROR(INDEX(Items!$D$5:$D$304,MATCH(D747,Items!$A$5:$A$304,0)),0)))</f>
        <v>0</v>
      </c>
      <c r="L747" s="35" t="n">
        <f aca="false">ROUND(N(E747)*K747*(1-N(G747)),2)</f>
        <v>0</v>
      </c>
      <c r="M747" s="36" t="n">
        <f aca="false">IF(A747="",0,IFERROR(INDEX(Items!$E$5:$E$304,MATCH(D747,Items!$A$5:$A$304,0)),0))</f>
        <v>0</v>
      </c>
      <c r="N747" s="37" t="str">
        <f aca="false">IF(A747="","",IFERROR(INDEX(Customers!$E$5:$E$204,MATCH(C747,Customers!$A$5:$A$204,0)),"?"))</f>
        <v/>
      </c>
      <c r="O747" s="38" t="str">
        <f aca="false">IF(A747="","",IF(N747=Settings!$B$17,"No","Yes"))</f>
        <v/>
      </c>
      <c r="P747" s="35" t="n">
        <f aca="false">IF(O747="Yes",ROUND(L747*M747,2),0)</f>
        <v>0</v>
      </c>
      <c r="Q747" s="35" t="n">
        <f aca="false">IF(O747="No",ROUND(L747*M747/2,2),0)</f>
        <v>0</v>
      </c>
      <c r="R747" s="35" t="n">
        <f aca="false">Q747</f>
        <v>0</v>
      </c>
      <c r="S747" s="35" t="n">
        <f aca="false">L747+P747+Q747+R747</f>
        <v>0</v>
      </c>
      <c r="T747" s="34" t="str">
        <f aca="false">IF(A747="","",IFERROR(INDEX(Customers!$B$5:$B$204,MATCH(C747,Customers!$A$5:$A$204,0))&amp;"",""))</f>
        <v/>
      </c>
      <c r="U747" s="38" t="str">
        <f aca="false">IF(A747="","",IF(T747&lt;&gt;"","B2B",IF(AND(O747="Yes",SUMIF($A$5:$A$1004,A747,$L$5:$L$1004)+SUMIF($A$5:$A$1004,A747,$P$5:$P$1004)&gt;100000),"B2CL","B2CS")))</f>
        <v/>
      </c>
      <c r="V747" s="17" t="str">
        <f aca="false">IF(A747="","",TEXT(B747,"mmm-yyyy"))</f>
        <v/>
      </c>
    </row>
    <row r="748" customFormat="false" ht="15" hidden="false" customHeight="true" outlineLevel="0" collapsed="false">
      <c r="A748" s="24"/>
      <c r="B748" s="39"/>
      <c r="C748" s="24"/>
      <c r="D748" s="24"/>
      <c r="E748" s="40"/>
      <c r="F748" s="29"/>
      <c r="G748" s="30"/>
      <c r="H748" s="17" t="str">
        <f aca="false">IF(A748="","",A748&amp;"|"&amp;COUNTIF(A$5:A748,A748))</f>
        <v/>
      </c>
      <c r="I748" s="33" t="str">
        <f aca="false">IF(A748="","",IFERROR(INDEX(Items!$B$5:$B$304,MATCH(D748,Items!$A$5:$A$304,0))&amp;"",""))</f>
        <v/>
      </c>
      <c r="J748" s="34" t="str">
        <f aca="false">IF(A748="","",IFERROR(INDEX(Items!$C$5:$C$304,MATCH(D748,Items!$A$5:$A$304,0))&amp;"",""))</f>
        <v/>
      </c>
      <c r="K748" s="35" t="n">
        <f aca="false">IF(A748="",0,IF(ISNUMBER(F748),F748,IFERROR(INDEX(Items!$D$5:$D$304,MATCH(D748,Items!$A$5:$A$304,0)),0)))</f>
        <v>0</v>
      </c>
      <c r="L748" s="35" t="n">
        <f aca="false">ROUND(N(E748)*K748*(1-N(G748)),2)</f>
        <v>0</v>
      </c>
      <c r="M748" s="36" t="n">
        <f aca="false">IF(A748="",0,IFERROR(INDEX(Items!$E$5:$E$304,MATCH(D748,Items!$A$5:$A$304,0)),0))</f>
        <v>0</v>
      </c>
      <c r="N748" s="37" t="str">
        <f aca="false">IF(A748="","",IFERROR(INDEX(Customers!$E$5:$E$204,MATCH(C748,Customers!$A$5:$A$204,0)),"?"))</f>
        <v/>
      </c>
      <c r="O748" s="38" t="str">
        <f aca="false">IF(A748="","",IF(N748=Settings!$B$17,"No","Yes"))</f>
        <v/>
      </c>
      <c r="P748" s="35" t="n">
        <f aca="false">IF(O748="Yes",ROUND(L748*M748,2),0)</f>
        <v>0</v>
      </c>
      <c r="Q748" s="35" t="n">
        <f aca="false">IF(O748="No",ROUND(L748*M748/2,2),0)</f>
        <v>0</v>
      </c>
      <c r="R748" s="35" t="n">
        <f aca="false">Q748</f>
        <v>0</v>
      </c>
      <c r="S748" s="35" t="n">
        <f aca="false">L748+P748+Q748+R748</f>
        <v>0</v>
      </c>
      <c r="T748" s="34" t="str">
        <f aca="false">IF(A748="","",IFERROR(INDEX(Customers!$B$5:$B$204,MATCH(C748,Customers!$A$5:$A$204,0))&amp;"",""))</f>
        <v/>
      </c>
      <c r="U748" s="38" t="str">
        <f aca="false">IF(A748="","",IF(T748&lt;&gt;"","B2B",IF(AND(O748="Yes",SUMIF($A$5:$A$1004,A748,$L$5:$L$1004)+SUMIF($A$5:$A$1004,A748,$P$5:$P$1004)&gt;100000),"B2CL","B2CS")))</f>
        <v/>
      </c>
      <c r="V748" s="17" t="str">
        <f aca="false">IF(A748="","",TEXT(B748,"mmm-yyyy"))</f>
        <v/>
      </c>
    </row>
    <row r="749" customFormat="false" ht="15" hidden="false" customHeight="true" outlineLevel="0" collapsed="false">
      <c r="A749" s="24"/>
      <c r="B749" s="39"/>
      <c r="C749" s="24"/>
      <c r="D749" s="24"/>
      <c r="E749" s="40"/>
      <c r="F749" s="29"/>
      <c r="G749" s="30"/>
      <c r="H749" s="17" t="str">
        <f aca="false">IF(A749="","",A749&amp;"|"&amp;COUNTIF(A$5:A749,A749))</f>
        <v/>
      </c>
      <c r="I749" s="33" t="str">
        <f aca="false">IF(A749="","",IFERROR(INDEX(Items!$B$5:$B$304,MATCH(D749,Items!$A$5:$A$304,0))&amp;"",""))</f>
        <v/>
      </c>
      <c r="J749" s="34" t="str">
        <f aca="false">IF(A749="","",IFERROR(INDEX(Items!$C$5:$C$304,MATCH(D749,Items!$A$5:$A$304,0))&amp;"",""))</f>
        <v/>
      </c>
      <c r="K749" s="35" t="n">
        <f aca="false">IF(A749="",0,IF(ISNUMBER(F749),F749,IFERROR(INDEX(Items!$D$5:$D$304,MATCH(D749,Items!$A$5:$A$304,0)),0)))</f>
        <v>0</v>
      </c>
      <c r="L749" s="35" t="n">
        <f aca="false">ROUND(N(E749)*K749*(1-N(G749)),2)</f>
        <v>0</v>
      </c>
      <c r="M749" s="36" t="n">
        <f aca="false">IF(A749="",0,IFERROR(INDEX(Items!$E$5:$E$304,MATCH(D749,Items!$A$5:$A$304,0)),0))</f>
        <v>0</v>
      </c>
      <c r="N749" s="37" t="str">
        <f aca="false">IF(A749="","",IFERROR(INDEX(Customers!$E$5:$E$204,MATCH(C749,Customers!$A$5:$A$204,0)),"?"))</f>
        <v/>
      </c>
      <c r="O749" s="38" t="str">
        <f aca="false">IF(A749="","",IF(N749=Settings!$B$17,"No","Yes"))</f>
        <v/>
      </c>
      <c r="P749" s="35" t="n">
        <f aca="false">IF(O749="Yes",ROUND(L749*M749,2),0)</f>
        <v>0</v>
      </c>
      <c r="Q749" s="35" t="n">
        <f aca="false">IF(O749="No",ROUND(L749*M749/2,2),0)</f>
        <v>0</v>
      </c>
      <c r="R749" s="35" t="n">
        <f aca="false">Q749</f>
        <v>0</v>
      </c>
      <c r="S749" s="35" t="n">
        <f aca="false">L749+P749+Q749+R749</f>
        <v>0</v>
      </c>
      <c r="T749" s="34" t="str">
        <f aca="false">IF(A749="","",IFERROR(INDEX(Customers!$B$5:$B$204,MATCH(C749,Customers!$A$5:$A$204,0))&amp;"",""))</f>
        <v/>
      </c>
      <c r="U749" s="38" t="str">
        <f aca="false">IF(A749="","",IF(T749&lt;&gt;"","B2B",IF(AND(O749="Yes",SUMIF($A$5:$A$1004,A749,$L$5:$L$1004)+SUMIF($A$5:$A$1004,A749,$P$5:$P$1004)&gt;100000),"B2CL","B2CS")))</f>
        <v/>
      </c>
      <c r="V749" s="17" t="str">
        <f aca="false">IF(A749="","",TEXT(B749,"mmm-yyyy"))</f>
        <v/>
      </c>
    </row>
    <row r="750" customFormat="false" ht="15" hidden="false" customHeight="true" outlineLevel="0" collapsed="false">
      <c r="A750" s="24"/>
      <c r="B750" s="39"/>
      <c r="C750" s="24"/>
      <c r="D750" s="24"/>
      <c r="E750" s="40"/>
      <c r="F750" s="29"/>
      <c r="G750" s="30"/>
      <c r="H750" s="17" t="str">
        <f aca="false">IF(A750="","",A750&amp;"|"&amp;COUNTIF(A$5:A750,A750))</f>
        <v/>
      </c>
      <c r="I750" s="33" t="str">
        <f aca="false">IF(A750="","",IFERROR(INDEX(Items!$B$5:$B$304,MATCH(D750,Items!$A$5:$A$304,0))&amp;"",""))</f>
        <v/>
      </c>
      <c r="J750" s="34" t="str">
        <f aca="false">IF(A750="","",IFERROR(INDEX(Items!$C$5:$C$304,MATCH(D750,Items!$A$5:$A$304,0))&amp;"",""))</f>
        <v/>
      </c>
      <c r="K750" s="35" t="n">
        <f aca="false">IF(A750="",0,IF(ISNUMBER(F750),F750,IFERROR(INDEX(Items!$D$5:$D$304,MATCH(D750,Items!$A$5:$A$304,0)),0)))</f>
        <v>0</v>
      </c>
      <c r="L750" s="35" t="n">
        <f aca="false">ROUND(N(E750)*K750*(1-N(G750)),2)</f>
        <v>0</v>
      </c>
      <c r="M750" s="36" t="n">
        <f aca="false">IF(A750="",0,IFERROR(INDEX(Items!$E$5:$E$304,MATCH(D750,Items!$A$5:$A$304,0)),0))</f>
        <v>0</v>
      </c>
      <c r="N750" s="37" t="str">
        <f aca="false">IF(A750="","",IFERROR(INDEX(Customers!$E$5:$E$204,MATCH(C750,Customers!$A$5:$A$204,0)),"?"))</f>
        <v/>
      </c>
      <c r="O750" s="38" t="str">
        <f aca="false">IF(A750="","",IF(N750=Settings!$B$17,"No","Yes"))</f>
        <v/>
      </c>
      <c r="P750" s="35" t="n">
        <f aca="false">IF(O750="Yes",ROUND(L750*M750,2),0)</f>
        <v>0</v>
      </c>
      <c r="Q750" s="35" t="n">
        <f aca="false">IF(O750="No",ROUND(L750*M750/2,2),0)</f>
        <v>0</v>
      </c>
      <c r="R750" s="35" t="n">
        <f aca="false">Q750</f>
        <v>0</v>
      </c>
      <c r="S750" s="35" t="n">
        <f aca="false">L750+P750+Q750+R750</f>
        <v>0</v>
      </c>
      <c r="T750" s="34" t="str">
        <f aca="false">IF(A750="","",IFERROR(INDEX(Customers!$B$5:$B$204,MATCH(C750,Customers!$A$5:$A$204,0))&amp;"",""))</f>
        <v/>
      </c>
      <c r="U750" s="38" t="str">
        <f aca="false">IF(A750="","",IF(T750&lt;&gt;"","B2B",IF(AND(O750="Yes",SUMIF($A$5:$A$1004,A750,$L$5:$L$1004)+SUMIF($A$5:$A$1004,A750,$P$5:$P$1004)&gt;100000),"B2CL","B2CS")))</f>
        <v/>
      </c>
      <c r="V750" s="17" t="str">
        <f aca="false">IF(A750="","",TEXT(B750,"mmm-yyyy"))</f>
        <v/>
      </c>
    </row>
    <row r="751" customFormat="false" ht="15" hidden="false" customHeight="true" outlineLevel="0" collapsed="false">
      <c r="A751" s="24"/>
      <c r="B751" s="39"/>
      <c r="C751" s="24"/>
      <c r="D751" s="24"/>
      <c r="E751" s="40"/>
      <c r="F751" s="29"/>
      <c r="G751" s="30"/>
      <c r="H751" s="17" t="str">
        <f aca="false">IF(A751="","",A751&amp;"|"&amp;COUNTIF(A$5:A751,A751))</f>
        <v/>
      </c>
      <c r="I751" s="33" t="str">
        <f aca="false">IF(A751="","",IFERROR(INDEX(Items!$B$5:$B$304,MATCH(D751,Items!$A$5:$A$304,0))&amp;"",""))</f>
        <v/>
      </c>
      <c r="J751" s="34" t="str">
        <f aca="false">IF(A751="","",IFERROR(INDEX(Items!$C$5:$C$304,MATCH(D751,Items!$A$5:$A$304,0))&amp;"",""))</f>
        <v/>
      </c>
      <c r="K751" s="35" t="n">
        <f aca="false">IF(A751="",0,IF(ISNUMBER(F751),F751,IFERROR(INDEX(Items!$D$5:$D$304,MATCH(D751,Items!$A$5:$A$304,0)),0)))</f>
        <v>0</v>
      </c>
      <c r="L751" s="35" t="n">
        <f aca="false">ROUND(N(E751)*K751*(1-N(G751)),2)</f>
        <v>0</v>
      </c>
      <c r="M751" s="36" t="n">
        <f aca="false">IF(A751="",0,IFERROR(INDEX(Items!$E$5:$E$304,MATCH(D751,Items!$A$5:$A$304,0)),0))</f>
        <v>0</v>
      </c>
      <c r="N751" s="37" t="str">
        <f aca="false">IF(A751="","",IFERROR(INDEX(Customers!$E$5:$E$204,MATCH(C751,Customers!$A$5:$A$204,0)),"?"))</f>
        <v/>
      </c>
      <c r="O751" s="38" t="str">
        <f aca="false">IF(A751="","",IF(N751=Settings!$B$17,"No","Yes"))</f>
        <v/>
      </c>
      <c r="P751" s="35" t="n">
        <f aca="false">IF(O751="Yes",ROUND(L751*M751,2),0)</f>
        <v>0</v>
      </c>
      <c r="Q751" s="35" t="n">
        <f aca="false">IF(O751="No",ROUND(L751*M751/2,2),0)</f>
        <v>0</v>
      </c>
      <c r="R751" s="35" t="n">
        <f aca="false">Q751</f>
        <v>0</v>
      </c>
      <c r="S751" s="35" t="n">
        <f aca="false">L751+P751+Q751+R751</f>
        <v>0</v>
      </c>
      <c r="T751" s="34" t="str">
        <f aca="false">IF(A751="","",IFERROR(INDEX(Customers!$B$5:$B$204,MATCH(C751,Customers!$A$5:$A$204,0))&amp;"",""))</f>
        <v/>
      </c>
      <c r="U751" s="38" t="str">
        <f aca="false">IF(A751="","",IF(T751&lt;&gt;"","B2B",IF(AND(O751="Yes",SUMIF($A$5:$A$1004,A751,$L$5:$L$1004)+SUMIF($A$5:$A$1004,A751,$P$5:$P$1004)&gt;100000),"B2CL","B2CS")))</f>
        <v/>
      </c>
      <c r="V751" s="17" t="str">
        <f aca="false">IF(A751="","",TEXT(B751,"mmm-yyyy"))</f>
        <v/>
      </c>
    </row>
    <row r="752" customFormat="false" ht="15" hidden="false" customHeight="true" outlineLevel="0" collapsed="false">
      <c r="A752" s="24"/>
      <c r="B752" s="39"/>
      <c r="C752" s="24"/>
      <c r="D752" s="24"/>
      <c r="E752" s="40"/>
      <c r="F752" s="29"/>
      <c r="G752" s="30"/>
      <c r="H752" s="17" t="str">
        <f aca="false">IF(A752="","",A752&amp;"|"&amp;COUNTIF(A$5:A752,A752))</f>
        <v/>
      </c>
      <c r="I752" s="33" t="str">
        <f aca="false">IF(A752="","",IFERROR(INDEX(Items!$B$5:$B$304,MATCH(D752,Items!$A$5:$A$304,0))&amp;"",""))</f>
        <v/>
      </c>
      <c r="J752" s="34" t="str">
        <f aca="false">IF(A752="","",IFERROR(INDEX(Items!$C$5:$C$304,MATCH(D752,Items!$A$5:$A$304,0))&amp;"",""))</f>
        <v/>
      </c>
      <c r="K752" s="35" t="n">
        <f aca="false">IF(A752="",0,IF(ISNUMBER(F752),F752,IFERROR(INDEX(Items!$D$5:$D$304,MATCH(D752,Items!$A$5:$A$304,0)),0)))</f>
        <v>0</v>
      </c>
      <c r="L752" s="35" t="n">
        <f aca="false">ROUND(N(E752)*K752*(1-N(G752)),2)</f>
        <v>0</v>
      </c>
      <c r="M752" s="36" t="n">
        <f aca="false">IF(A752="",0,IFERROR(INDEX(Items!$E$5:$E$304,MATCH(D752,Items!$A$5:$A$304,0)),0))</f>
        <v>0</v>
      </c>
      <c r="N752" s="37" t="str">
        <f aca="false">IF(A752="","",IFERROR(INDEX(Customers!$E$5:$E$204,MATCH(C752,Customers!$A$5:$A$204,0)),"?"))</f>
        <v/>
      </c>
      <c r="O752" s="38" t="str">
        <f aca="false">IF(A752="","",IF(N752=Settings!$B$17,"No","Yes"))</f>
        <v/>
      </c>
      <c r="P752" s="35" t="n">
        <f aca="false">IF(O752="Yes",ROUND(L752*M752,2),0)</f>
        <v>0</v>
      </c>
      <c r="Q752" s="35" t="n">
        <f aca="false">IF(O752="No",ROUND(L752*M752/2,2),0)</f>
        <v>0</v>
      </c>
      <c r="R752" s="35" t="n">
        <f aca="false">Q752</f>
        <v>0</v>
      </c>
      <c r="S752" s="35" t="n">
        <f aca="false">L752+P752+Q752+R752</f>
        <v>0</v>
      </c>
      <c r="T752" s="34" t="str">
        <f aca="false">IF(A752="","",IFERROR(INDEX(Customers!$B$5:$B$204,MATCH(C752,Customers!$A$5:$A$204,0))&amp;"",""))</f>
        <v/>
      </c>
      <c r="U752" s="38" t="str">
        <f aca="false">IF(A752="","",IF(T752&lt;&gt;"","B2B",IF(AND(O752="Yes",SUMIF($A$5:$A$1004,A752,$L$5:$L$1004)+SUMIF($A$5:$A$1004,A752,$P$5:$P$1004)&gt;100000),"B2CL","B2CS")))</f>
        <v/>
      </c>
      <c r="V752" s="17" t="str">
        <f aca="false">IF(A752="","",TEXT(B752,"mmm-yyyy"))</f>
        <v/>
      </c>
    </row>
    <row r="753" customFormat="false" ht="15" hidden="false" customHeight="true" outlineLevel="0" collapsed="false">
      <c r="A753" s="24"/>
      <c r="B753" s="39"/>
      <c r="C753" s="24"/>
      <c r="D753" s="24"/>
      <c r="E753" s="40"/>
      <c r="F753" s="29"/>
      <c r="G753" s="30"/>
      <c r="H753" s="17" t="str">
        <f aca="false">IF(A753="","",A753&amp;"|"&amp;COUNTIF(A$5:A753,A753))</f>
        <v/>
      </c>
      <c r="I753" s="33" t="str">
        <f aca="false">IF(A753="","",IFERROR(INDEX(Items!$B$5:$B$304,MATCH(D753,Items!$A$5:$A$304,0))&amp;"",""))</f>
        <v/>
      </c>
      <c r="J753" s="34" t="str">
        <f aca="false">IF(A753="","",IFERROR(INDEX(Items!$C$5:$C$304,MATCH(D753,Items!$A$5:$A$304,0))&amp;"",""))</f>
        <v/>
      </c>
      <c r="K753" s="35" t="n">
        <f aca="false">IF(A753="",0,IF(ISNUMBER(F753),F753,IFERROR(INDEX(Items!$D$5:$D$304,MATCH(D753,Items!$A$5:$A$304,0)),0)))</f>
        <v>0</v>
      </c>
      <c r="L753" s="35" t="n">
        <f aca="false">ROUND(N(E753)*K753*(1-N(G753)),2)</f>
        <v>0</v>
      </c>
      <c r="M753" s="36" t="n">
        <f aca="false">IF(A753="",0,IFERROR(INDEX(Items!$E$5:$E$304,MATCH(D753,Items!$A$5:$A$304,0)),0))</f>
        <v>0</v>
      </c>
      <c r="N753" s="37" t="str">
        <f aca="false">IF(A753="","",IFERROR(INDEX(Customers!$E$5:$E$204,MATCH(C753,Customers!$A$5:$A$204,0)),"?"))</f>
        <v/>
      </c>
      <c r="O753" s="38" t="str">
        <f aca="false">IF(A753="","",IF(N753=Settings!$B$17,"No","Yes"))</f>
        <v/>
      </c>
      <c r="P753" s="35" t="n">
        <f aca="false">IF(O753="Yes",ROUND(L753*M753,2),0)</f>
        <v>0</v>
      </c>
      <c r="Q753" s="35" t="n">
        <f aca="false">IF(O753="No",ROUND(L753*M753/2,2),0)</f>
        <v>0</v>
      </c>
      <c r="R753" s="35" t="n">
        <f aca="false">Q753</f>
        <v>0</v>
      </c>
      <c r="S753" s="35" t="n">
        <f aca="false">L753+P753+Q753+R753</f>
        <v>0</v>
      </c>
      <c r="T753" s="34" t="str">
        <f aca="false">IF(A753="","",IFERROR(INDEX(Customers!$B$5:$B$204,MATCH(C753,Customers!$A$5:$A$204,0))&amp;"",""))</f>
        <v/>
      </c>
      <c r="U753" s="38" t="str">
        <f aca="false">IF(A753="","",IF(T753&lt;&gt;"","B2B",IF(AND(O753="Yes",SUMIF($A$5:$A$1004,A753,$L$5:$L$1004)+SUMIF($A$5:$A$1004,A753,$P$5:$P$1004)&gt;100000),"B2CL","B2CS")))</f>
        <v/>
      </c>
      <c r="V753" s="17" t="str">
        <f aca="false">IF(A753="","",TEXT(B753,"mmm-yyyy"))</f>
        <v/>
      </c>
    </row>
    <row r="754" customFormat="false" ht="15" hidden="false" customHeight="true" outlineLevel="0" collapsed="false">
      <c r="A754" s="24"/>
      <c r="B754" s="39"/>
      <c r="C754" s="24"/>
      <c r="D754" s="24"/>
      <c r="E754" s="40"/>
      <c r="F754" s="29"/>
      <c r="G754" s="30"/>
      <c r="H754" s="17" t="str">
        <f aca="false">IF(A754="","",A754&amp;"|"&amp;COUNTIF(A$5:A754,A754))</f>
        <v/>
      </c>
      <c r="I754" s="33" t="str">
        <f aca="false">IF(A754="","",IFERROR(INDEX(Items!$B$5:$B$304,MATCH(D754,Items!$A$5:$A$304,0))&amp;"",""))</f>
        <v/>
      </c>
      <c r="J754" s="34" t="str">
        <f aca="false">IF(A754="","",IFERROR(INDEX(Items!$C$5:$C$304,MATCH(D754,Items!$A$5:$A$304,0))&amp;"",""))</f>
        <v/>
      </c>
      <c r="K754" s="35" t="n">
        <f aca="false">IF(A754="",0,IF(ISNUMBER(F754),F754,IFERROR(INDEX(Items!$D$5:$D$304,MATCH(D754,Items!$A$5:$A$304,0)),0)))</f>
        <v>0</v>
      </c>
      <c r="L754" s="35" t="n">
        <f aca="false">ROUND(N(E754)*K754*(1-N(G754)),2)</f>
        <v>0</v>
      </c>
      <c r="M754" s="36" t="n">
        <f aca="false">IF(A754="",0,IFERROR(INDEX(Items!$E$5:$E$304,MATCH(D754,Items!$A$5:$A$304,0)),0))</f>
        <v>0</v>
      </c>
      <c r="N754" s="37" t="str">
        <f aca="false">IF(A754="","",IFERROR(INDEX(Customers!$E$5:$E$204,MATCH(C754,Customers!$A$5:$A$204,0)),"?"))</f>
        <v/>
      </c>
      <c r="O754" s="38" t="str">
        <f aca="false">IF(A754="","",IF(N754=Settings!$B$17,"No","Yes"))</f>
        <v/>
      </c>
      <c r="P754" s="35" t="n">
        <f aca="false">IF(O754="Yes",ROUND(L754*M754,2),0)</f>
        <v>0</v>
      </c>
      <c r="Q754" s="35" t="n">
        <f aca="false">IF(O754="No",ROUND(L754*M754/2,2),0)</f>
        <v>0</v>
      </c>
      <c r="R754" s="35" t="n">
        <f aca="false">Q754</f>
        <v>0</v>
      </c>
      <c r="S754" s="35" t="n">
        <f aca="false">L754+P754+Q754+R754</f>
        <v>0</v>
      </c>
      <c r="T754" s="34" t="str">
        <f aca="false">IF(A754="","",IFERROR(INDEX(Customers!$B$5:$B$204,MATCH(C754,Customers!$A$5:$A$204,0))&amp;"",""))</f>
        <v/>
      </c>
      <c r="U754" s="38" t="str">
        <f aca="false">IF(A754="","",IF(T754&lt;&gt;"","B2B",IF(AND(O754="Yes",SUMIF($A$5:$A$1004,A754,$L$5:$L$1004)+SUMIF($A$5:$A$1004,A754,$P$5:$P$1004)&gt;100000),"B2CL","B2CS")))</f>
        <v/>
      </c>
      <c r="V754" s="17" t="str">
        <f aca="false">IF(A754="","",TEXT(B754,"mmm-yyyy"))</f>
        <v/>
      </c>
    </row>
    <row r="755" customFormat="false" ht="15" hidden="false" customHeight="true" outlineLevel="0" collapsed="false">
      <c r="A755" s="24"/>
      <c r="B755" s="39"/>
      <c r="C755" s="24"/>
      <c r="D755" s="24"/>
      <c r="E755" s="40"/>
      <c r="F755" s="29"/>
      <c r="G755" s="30"/>
      <c r="H755" s="17" t="str">
        <f aca="false">IF(A755="","",A755&amp;"|"&amp;COUNTIF(A$5:A755,A755))</f>
        <v/>
      </c>
      <c r="I755" s="33" t="str">
        <f aca="false">IF(A755="","",IFERROR(INDEX(Items!$B$5:$B$304,MATCH(D755,Items!$A$5:$A$304,0))&amp;"",""))</f>
        <v/>
      </c>
      <c r="J755" s="34" t="str">
        <f aca="false">IF(A755="","",IFERROR(INDEX(Items!$C$5:$C$304,MATCH(D755,Items!$A$5:$A$304,0))&amp;"",""))</f>
        <v/>
      </c>
      <c r="K755" s="35" t="n">
        <f aca="false">IF(A755="",0,IF(ISNUMBER(F755),F755,IFERROR(INDEX(Items!$D$5:$D$304,MATCH(D755,Items!$A$5:$A$304,0)),0)))</f>
        <v>0</v>
      </c>
      <c r="L755" s="35" t="n">
        <f aca="false">ROUND(N(E755)*K755*(1-N(G755)),2)</f>
        <v>0</v>
      </c>
      <c r="M755" s="36" t="n">
        <f aca="false">IF(A755="",0,IFERROR(INDEX(Items!$E$5:$E$304,MATCH(D755,Items!$A$5:$A$304,0)),0))</f>
        <v>0</v>
      </c>
      <c r="N755" s="37" t="str">
        <f aca="false">IF(A755="","",IFERROR(INDEX(Customers!$E$5:$E$204,MATCH(C755,Customers!$A$5:$A$204,0)),"?"))</f>
        <v/>
      </c>
      <c r="O755" s="38" t="str">
        <f aca="false">IF(A755="","",IF(N755=Settings!$B$17,"No","Yes"))</f>
        <v/>
      </c>
      <c r="P755" s="35" t="n">
        <f aca="false">IF(O755="Yes",ROUND(L755*M755,2),0)</f>
        <v>0</v>
      </c>
      <c r="Q755" s="35" t="n">
        <f aca="false">IF(O755="No",ROUND(L755*M755/2,2),0)</f>
        <v>0</v>
      </c>
      <c r="R755" s="35" t="n">
        <f aca="false">Q755</f>
        <v>0</v>
      </c>
      <c r="S755" s="35" t="n">
        <f aca="false">L755+P755+Q755+R755</f>
        <v>0</v>
      </c>
      <c r="T755" s="34" t="str">
        <f aca="false">IF(A755="","",IFERROR(INDEX(Customers!$B$5:$B$204,MATCH(C755,Customers!$A$5:$A$204,0))&amp;"",""))</f>
        <v/>
      </c>
      <c r="U755" s="38" t="str">
        <f aca="false">IF(A755="","",IF(T755&lt;&gt;"","B2B",IF(AND(O755="Yes",SUMIF($A$5:$A$1004,A755,$L$5:$L$1004)+SUMIF($A$5:$A$1004,A755,$P$5:$P$1004)&gt;100000),"B2CL","B2CS")))</f>
        <v/>
      </c>
      <c r="V755" s="17" t="str">
        <f aca="false">IF(A755="","",TEXT(B755,"mmm-yyyy"))</f>
        <v/>
      </c>
    </row>
    <row r="756" customFormat="false" ht="15" hidden="false" customHeight="true" outlineLevel="0" collapsed="false">
      <c r="A756" s="24"/>
      <c r="B756" s="39"/>
      <c r="C756" s="24"/>
      <c r="D756" s="24"/>
      <c r="E756" s="40"/>
      <c r="F756" s="29"/>
      <c r="G756" s="30"/>
      <c r="H756" s="17" t="str">
        <f aca="false">IF(A756="","",A756&amp;"|"&amp;COUNTIF(A$5:A756,A756))</f>
        <v/>
      </c>
      <c r="I756" s="33" t="str">
        <f aca="false">IF(A756="","",IFERROR(INDEX(Items!$B$5:$B$304,MATCH(D756,Items!$A$5:$A$304,0))&amp;"",""))</f>
        <v/>
      </c>
      <c r="J756" s="34" t="str">
        <f aca="false">IF(A756="","",IFERROR(INDEX(Items!$C$5:$C$304,MATCH(D756,Items!$A$5:$A$304,0))&amp;"",""))</f>
        <v/>
      </c>
      <c r="K756" s="35" t="n">
        <f aca="false">IF(A756="",0,IF(ISNUMBER(F756),F756,IFERROR(INDEX(Items!$D$5:$D$304,MATCH(D756,Items!$A$5:$A$304,0)),0)))</f>
        <v>0</v>
      </c>
      <c r="L756" s="35" t="n">
        <f aca="false">ROUND(N(E756)*K756*(1-N(G756)),2)</f>
        <v>0</v>
      </c>
      <c r="M756" s="36" t="n">
        <f aca="false">IF(A756="",0,IFERROR(INDEX(Items!$E$5:$E$304,MATCH(D756,Items!$A$5:$A$304,0)),0))</f>
        <v>0</v>
      </c>
      <c r="N756" s="37" t="str">
        <f aca="false">IF(A756="","",IFERROR(INDEX(Customers!$E$5:$E$204,MATCH(C756,Customers!$A$5:$A$204,0)),"?"))</f>
        <v/>
      </c>
      <c r="O756" s="38" t="str">
        <f aca="false">IF(A756="","",IF(N756=Settings!$B$17,"No","Yes"))</f>
        <v/>
      </c>
      <c r="P756" s="35" t="n">
        <f aca="false">IF(O756="Yes",ROUND(L756*M756,2),0)</f>
        <v>0</v>
      </c>
      <c r="Q756" s="35" t="n">
        <f aca="false">IF(O756="No",ROUND(L756*M756/2,2),0)</f>
        <v>0</v>
      </c>
      <c r="R756" s="35" t="n">
        <f aca="false">Q756</f>
        <v>0</v>
      </c>
      <c r="S756" s="35" t="n">
        <f aca="false">L756+P756+Q756+R756</f>
        <v>0</v>
      </c>
      <c r="T756" s="34" t="str">
        <f aca="false">IF(A756="","",IFERROR(INDEX(Customers!$B$5:$B$204,MATCH(C756,Customers!$A$5:$A$204,0))&amp;"",""))</f>
        <v/>
      </c>
      <c r="U756" s="38" t="str">
        <f aca="false">IF(A756="","",IF(T756&lt;&gt;"","B2B",IF(AND(O756="Yes",SUMIF($A$5:$A$1004,A756,$L$5:$L$1004)+SUMIF($A$5:$A$1004,A756,$P$5:$P$1004)&gt;100000),"B2CL","B2CS")))</f>
        <v/>
      </c>
      <c r="V756" s="17" t="str">
        <f aca="false">IF(A756="","",TEXT(B756,"mmm-yyyy"))</f>
        <v/>
      </c>
    </row>
    <row r="757" customFormat="false" ht="15" hidden="false" customHeight="true" outlineLevel="0" collapsed="false">
      <c r="A757" s="24"/>
      <c r="B757" s="39"/>
      <c r="C757" s="24"/>
      <c r="D757" s="24"/>
      <c r="E757" s="40"/>
      <c r="F757" s="29"/>
      <c r="G757" s="30"/>
      <c r="H757" s="17" t="str">
        <f aca="false">IF(A757="","",A757&amp;"|"&amp;COUNTIF(A$5:A757,A757))</f>
        <v/>
      </c>
      <c r="I757" s="33" t="str">
        <f aca="false">IF(A757="","",IFERROR(INDEX(Items!$B$5:$B$304,MATCH(D757,Items!$A$5:$A$304,0))&amp;"",""))</f>
        <v/>
      </c>
      <c r="J757" s="34" t="str">
        <f aca="false">IF(A757="","",IFERROR(INDEX(Items!$C$5:$C$304,MATCH(D757,Items!$A$5:$A$304,0))&amp;"",""))</f>
        <v/>
      </c>
      <c r="K757" s="35" t="n">
        <f aca="false">IF(A757="",0,IF(ISNUMBER(F757),F757,IFERROR(INDEX(Items!$D$5:$D$304,MATCH(D757,Items!$A$5:$A$304,0)),0)))</f>
        <v>0</v>
      </c>
      <c r="L757" s="35" t="n">
        <f aca="false">ROUND(N(E757)*K757*(1-N(G757)),2)</f>
        <v>0</v>
      </c>
      <c r="M757" s="36" t="n">
        <f aca="false">IF(A757="",0,IFERROR(INDEX(Items!$E$5:$E$304,MATCH(D757,Items!$A$5:$A$304,0)),0))</f>
        <v>0</v>
      </c>
      <c r="N757" s="37" t="str">
        <f aca="false">IF(A757="","",IFERROR(INDEX(Customers!$E$5:$E$204,MATCH(C757,Customers!$A$5:$A$204,0)),"?"))</f>
        <v/>
      </c>
      <c r="O757" s="38" t="str">
        <f aca="false">IF(A757="","",IF(N757=Settings!$B$17,"No","Yes"))</f>
        <v/>
      </c>
      <c r="P757" s="35" t="n">
        <f aca="false">IF(O757="Yes",ROUND(L757*M757,2),0)</f>
        <v>0</v>
      </c>
      <c r="Q757" s="35" t="n">
        <f aca="false">IF(O757="No",ROUND(L757*M757/2,2),0)</f>
        <v>0</v>
      </c>
      <c r="R757" s="35" t="n">
        <f aca="false">Q757</f>
        <v>0</v>
      </c>
      <c r="S757" s="35" t="n">
        <f aca="false">L757+P757+Q757+R757</f>
        <v>0</v>
      </c>
      <c r="T757" s="34" t="str">
        <f aca="false">IF(A757="","",IFERROR(INDEX(Customers!$B$5:$B$204,MATCH(C757,Customers!$A$5:$A$204,0))&amp;"",""))</f>
        <v/>
      </c>
      <c r="U757" s="38" t="str">
        <f aca="false">IF(A757="","",IF(T757&lt;&gt;"","B2B",IF(AND(O757="Yes",SUMIF($A$5:$A$1004,A757,$L$5:$L$1004)+SUMIF($A$5:$A$1004,A757,$P$5:$P$1004)&gt;100000),"B2CL","B2CS")))</f>
        <v/>
      </c>
      <c r="V757" s="17" t="str">
        <f aca="false">IF(A757="","",TEXT(B757,"mmm-yyyy"))</f>
        <v/>
      </c>
    </row>
    <row r="758" customFormat="false" ht="15" hidden="false" customHeight="true" outlineLevel="0" collapsed="false">
      <c r="A758" s="24"/>
      <c r="B758" s="39"/>
      <c r="C758" s="24"/>
      <c r="D758" s="24"/>
      <c r="E758" s="40"/>
      <c r="F758" s="29"/>
      <c r="G758" s="30"/>
      <c r="H758" s="17" t="str">
        <f aca="false">IF(A758="","",A758&amp;"|"&amp;COUNTIF(A$5:A758,A758))</f>
        <v/>
      </c>
      <c r="I758" s="33" t="str">
        <f aca="false">IF(A758="","",IFERROR(INDEX(Items!$B$5:$B$304,MATCH(D758,Items!$A$5:$A$304,0))&amp;"",""))</f>
        <v/>
      </c>
      <c r="J758" s="34" t="str">
        <f aca="false">IF(A758="","",IFERROR(INDEX(Items!$C$5:$C$304,MATCH(D758,Items!$A$5:$A$304,0))&amp;"",""))</f>
        <v/>
      </c>
      <c r="K758" s="35" t="n">
        <f aca="false">IF(A758="",0,IF(ISNUMBER(F758),F758,IFERROR(INDEX(Items!$D$5:$D$304,MATCH(D758,Items!$A$5:$A$304,0)),0)))</f>
        <v>0</v>
      </c>
      <c r="L758" s="35" t="n">
        <f aca="false">ROUND(N(E758)*K758*(1-N(G758)),2)</f>
        <v>0</v>
      </c>
      <c r="M758" s="36" t="n">
        <f aca="false">IF(A758="",0,IFERROR(INDEX(Items!$E$5:$E$304,MATCH(D758,Items!$A$5:$A$304,0)),0))</f>
        <v>0</v>
      </c>
      <c r="N758" s="37" t="str">
        <f aca="false">IF(A758="","",IFERROR(INDEX(Customers!$E$5:$E$204,MATCH(C758,Customers!$A$5:$A$204,0)),"?"))</f>
        <v/>
      </c>
      <c r="O758" s="38" t="str">
        <f aca="false">IF(A758="","",IF(N758=Settings!$B$17,"No","Yes"))</f>
        <v/>
      </c>
      <c r="P758" s="35" t="n">
        <f aca="false">IF(O758="Yes",ROUND(L758*M758,2),0)</f>
        <v>0</v>
      </c>
      <c r="Q758" s="35" t="n">
        <f aca="false">IF(O758="No",ROUND(L758*M758/2,2),0)</f>
        <v>0</v>
      </c>
      <c r="R758" s="35" t="n">
        <f aca="false">Q758</f>
        <v>0</v>
      </c>
      <c r="S758" s="35" t="n">
        <f aca="false">L758+P758+Q758+R758</f>
        <v>0</v>
      </c>
      <c r="T758" s="34" t="str">
        <f aca="false">IF(A758="","",IFERROR(INDEX(Customers!$B$5:$B$204,MATCH(C758,Customers!$A$5:$A$204,0))&amp;"",""))</f>
        <v/>
      </c>
      <c r="U758" s="38" t="str">
        <f aca="false">IF(A758="","",IF(T758&lt;&gt;"","B2B",IF(AND(O758="Yes",SUMIF($A$5:$A$1004,A758,$L$5:$L$1004)+SUMIF($A$5:$A$1004,A758,$P$5:$P$1004)&gt;100000),"B2CL","B2CS")))</f>
        <v/>
      </c>
      <c r="V758" s="17" t="str">
        <f aca="false">IF(A758="","",TEXT(B758,"mmm-yyyy"))</f>
        <v/>
      </c>
    </row>
    <row r="759" customFormat="false" ht="15" hidden="false" customHeight="true" outlineLevel="0" collapsed="false">
      <c r="A759" s="24"/>
      <c r="B759" s="39"/>
      <c r="C759" s="24"/>
      <c r="D759" s="24"/>
      <c r="E759" s="40"/>
      <c r="F759" s="29"/>
      <c r="G759" s="30"/>
      <c r="H759" s="17" t="str">
        <f aca="false">IF(A759="","",A759&amp;"|"&amp;COUNTIF(A$5:A759,A759))</f>
        <v/>
      </c>
      <c r="I759" s="33" t="str">
        <f aca="false">IF(A759="","",IFERROR(INDEX(Items!$B$5:$B$304,MATCH(D759,Items!$A$5:$A$304,0))&amp;"",""))</f>
        <v/>
      </c>
      <c r="J759" s="34" t="str">
        <f aca="false">IF(A759="","",IFERROR(INDEX(Items!$C$5:$C$304,MATCH(D759,Items!$A$5:$A$304,0))&amp;"",""))</f>
        <v/>
      </c>
      <c r="K759" s="35" t="n">
        <f aca="false">IF(A759="",0,IF(ISNUMBER(F759),F759,IFERROR(INDEX(Items!$D$5:$D$304,MATCH(D759,Items!$A$5:$A$304,0)),0)))</f>
        <v>0</v>
      </c>
      <c r="L759" s="35" t="n">
        <f aca="false">ROUND(N(E759)*K759*(1-N(G759)),2)</f>
        <v>0</v>
      </c>
      <c r="M759" s="36" t="n">
        <f aca="false">IF(A759="",0,IFERROR(INDEX(Items!$E$5:$E$304,MATCH(D759,Items!$A$5:$A$304,0)),0))</f>
        <v>0</v>
      </c>
      <c r="N759" s="37" t="str">
        <f aca="false">IF(A759="","",IFERROR(INDEX(Customers!$E$5:$E$204,MATCH(C759,Customers!$A$5:$A$204,0)),"?"))</f>
        <v/>
      </c>
      <c r="O759" s="38" t="str">
        <f aca="false">IF(A759="","",IF(N759=Settings!$B$17,"No","Yes"))</f>
        <v/>
      </c>
      <c r="P759" s="35" t="n">
        <f aca="false">IF(O759="Yes",ROUND(L759*M759,2),0)</f>
        <v>0</v>
      </c>
      <c r="Q759" s="35" t="n">
        <f aca="false">IF(O759="No",ROUND(L759*M759/2,2),0)</f>
        <v>0</v>
      </c>
      <c r="R759" s="35" t="n">
        <f aca="false">Q759</f>
        <v>0</v>
      </c>
      <c r="S759" s="35" t="n">
        <f aca="false">L759+P759+Q759+R759</f>
        <v>0</v>
      </c>
      <c r="T759" s="34" t="str">
        <f aca="false">IF(A759="","",IFERROR(INDEX(Customers!$B$5:$B$204,MATCH(C759,Customers!$A$5:$A$204,0))&amp;"",""))</f>
        <v/>
      </c>
      <c r="U759" s="38" t="str">
        <f aca="false">IF(A759="","",IF(T759&lt;&gt;"","B2B",IF(AND(O759="Yes",SUMIF($A$5:$A$1004,A759,$L$5:$L$1004)+SUMIF($A$5:$A$1004,A759,$P$5:$P$1004)&gt;100000),"B2CL","B2CS")))</f>
        <v/>
      </c>
      <c r="V759" s="17" t="str">
        <f aca="false">IF(A759="","",TEXT(B759,"mmm-yyyy"))</f>
        <v/>
      </c>
    </row>
    <row r="760" customFormat="false" ht="15" hidden="false" customHeight="true" outlineLevel="0" collapsed="false">
      <c r="A760" s="24"/>
      <c r="B760" s="39"/>
      <c r="C760" s="24"/>
      <c r="D760" s="24"/>
      <c r="E760" s="40"/>
      <c r="F760" s="29"/>
      <c r="G760" s="30"/>
      <c r="H760" s="17" t="str">
        <f aca="false">IF(A760="","",A760&amp;"|"&amp;COUNTIF(A$5:A760,A760))</f>
        <v/>
      </c>
      <c r="I760" s="33" t="str">
        <f aca="false">IF(A760="","",IFERROR(INDEX(Items!$B$5:$B$304,MATCH(D760,Items!$A$5:$A$304,0))&amp;"",""))</f>
        <v/>
      </c>
      <c r="J760" s="34" t="str">
        <f aca="false">IF(A760="","",IFERROR(INDEX(Items!$C$5:$C$304,MATCH(D760,Items!$A$5:$A$304,0))&amp;"",""))</f>
        <v/>
      </c>
      <c r="K760" s="35" t="n">
        <f aca="false">IF(A760="",0,IF(ISNUMBER(F760),F760,IFERROR(INDEX(Items!$D$5:$D$304,MATCH(D760,Items!$A$5:$A$304,0)),0)))</f>
        <v>0</v>
      </c>
      <c r="L760" s="35" t="n">
        <f aca="false">ROUND(N(E760)*K760*(1-N(G760)),2)</f>
        <v>0</v>
      </c>
      <c r="M760" s="36" t="n">
        <f aca="false">IF(A760="",0,IFERROR(INDEX(Items!$E$5:$E$304,MATCH(D760,Items!$A$5:$A$304,0)),0))</f>
        <v>0</v>
      </c>
      <c r="N760" s="37" t="str">
        <f aca="false">IF(A760="","",IFERROR(INDEX(Customers!$E$5:$E$204,MATCH(C760,Customers!$A$5:$A$204,0)),"?"))</f>
        <v/>
      </c>
      <c r="O760" s="38" t="str">
        <f aca="false">IF(A760="","",IF(N760=Settings!$B$17,"No","Yes"))</f>
        <v/>
      </c>
      <c r="P760" s="35" t="n">
        <f aca="false">IF(O760="Yes",ROUND(L760*M760,2),0)</f>
        <v>0</v>
      </c>
      <c r="Q760" s="35" t="n">
        <f aca="false">IF(O760="No",ROUND(L760*M760/2,2),0)</f>
        <v>0</v>
      </c>
      <c r="R760" s="35" t="n">
        <f aca="false">Q760</f>
        <v>0</v>
      </c>
      <c r="S760" s="35" t="n">
        <f aca="false">L760+P760+Q760+R760</f>
        <v>0</v>
      </c>
      <c r="T760" s="34" t="str">
        <f aca="false">IF(A760="","",IFERROR(INDEX(Customers!$B$5:$B$204,MATCH(C760,Customers!$A$5:$A$204,0))&amp;"",""))</f>
        <v/>
      </c>
      <c r="U760" s="38" t="str">
        <f aca="false">IF(A760="","",IF(T760&lt;&gt;"","B2B",IF(AND(O760="Yes",SUMIF($A$5:$A$1004,A760,$L$5:$L$1004)+SUMIF($A$5:$A$1004,A760,$P$5:$P$1004)&gt;100000),"B2CL","B2CS")))</f>
        <v/>
      </c>
      <c r="V760" s="17" t="str">
        <f aca="false">IF(A760="","",TEXT(B760,"mmm-yyyy"))</f>
        <v/>
      </c>
    </row>
    <row r="761" customFormat="false" ht="15" hidden="false" customHeight="true" outlineLevel="0" collapsed="false">
      <c r="A761" s="24"/>
      <c r="B761" s="39"/>
      <c r="C761" s="24"/>
      <c r="D761" s="24"/>
      <c r="E761" s="40"/>
      <c r="F761" s="29"/>
      <c r="G761" s="30"/>
      <c r="H761" s="17" t="str">
        <f aca="false">IF(A761="","",A761&amp;"|"&amp;COUNTIF(A$5:A761,A761))</f>
        <v/>
      </c>
      <c r="I761" s="33" t="str">
        <f aca="false">IF(A761="","",IFERROR(INDEX(Items!$B$5:$B$304,MATCH(D761,Items!$A$5:$A$304,0))&amp;"",""))</f>
        <v/>
      </c>
      <c r="J761" s="34" t="str">
        <f aca="false">IF(A761="","",IFERROR(INDEX(Items!$C$5:$C$304,MATCH(D761,Items!$A$5:$A$304,0))&amp;"",""))</f>
        <v/>
      </c>
      <c r="K761" s="35" t="n">
        <f aca="false">IF(A761="",0,IF(ISNUMBER(F761),F761,IFERROR(INDEX(Items!$D$5:$D$304,MATCH(D761,Items!$A$5:$A$304,0)),0)))</f>
        <v>0</v>
      </c>
      <c r="L761" s="35" t="n">
        <f aca="false">ROUND(N(E761)*K761*(1-N(G761)),2)</f>
        <v>0</v>
      </c>
      <c r="M761" s="36" t="n">
        <f aca="false">IF(A761="",0,IFERROR(INDEX(Items!$E$5:$E$304,MATCH(D761,Items!$A$5:$A$304,0)),0))</f>
        <v>0</v>
      </c>
      <c r="N761" s="37" t="str">
        <f aca="false">IF(A761="","",IFERROR(INDEX(Customers!$E$5:$E$204,MATCH(C761,Customers!$A$5:$A$204,0)),"?"))</f>
        <v/>
      </c>
      <c r="O761" s="38" t="str">
        <f aca="false">IF(A761="","",IF(N761=Settings!$B$17,"No","Yes"))</f>
        <v/>
      </c>
      <c r="P761" s="35" t="n">
        <f aca="false">IF(O761="Yes",ROUND(L761*M761,2),0)</f>
        <v>0</v>
      </c>
      <c r="Q761" s="35" t="n">
        <f aca="false">IF(O761="No",ROUND(L761*M761/2,2),0)</f>
        <v>0</v>
      </c>
      <c r="R761" s="35" t="n">
        <f aca="false">Q761</f>
        <v>0</v>
      </c>
      <c r="S761" s="35" t="n">
        <f aca="false">L761+P761+Q761+R761</f>
        <v>0</v>
      </c>
      <c r="T761" s="34" t="str">
        <f aca="false">IF(A761="","",IFERROR(INDEX(Customers!$B$5:$B$204,MATCH(C761,Customers!$A$5:$A$204,0))&amp;"",""))</f>
        <v/>
      </c>
      <c r="U761" s="38" t="str">
        <f aca="false">IF(A761="","",IF(T761&lt;&gt;"","B2B",IF(AND(O761="Yes",SUMIF($A$5:$A$1004,A761,$L$5:$L$1004)+SUMIF($A$5:$A$1004,A761,$P$5:$P$1004)&gt;100000),"B2CL","B2CS")))</f>
        <v/>
      </c>
      <c r="V761" s="17" t="str">
        <f aca="false">IF(A761="","",TEXT(B761,"mmm-yyyy"))</f>
        <v/>
      </c>
    </row>
    <row r="762" customFormat="false" ht="15" hidden="false" customHeight="true" outlineLevel="0" collapsed="false">
      <c r="A762" s="24"/>
      <c r="B762" s="39"/>
      <c r="C762" s="24"/>
      <c r="D762" s="24"/>
      <c r="E762" s="40"/>
      <c r="F762" s="29"/>
      <c r="G762" s="30"/>
      <c r="H762" s="17" t="str">
        <f aca="false">IF(A762="","",A762&amp;"|"&amp;COUNTIF(A$5:A762,A762))</f>
        <v/>
      </c>
      <c r="I762" s="33" t="str">
        <f aca="false">IF(A762="","",IFERROR(INDEX(Items!$B$5:$B$304,MATCH(D762,Items!$A$5:$A$304,0))&amp;"",""))</f>
        <v/>
      </c>
      <c r="J762" s="34" t="str">
        <f aca="false">IF(A762="","",IFERROR(INDEX(Items!$C$5:$C$304,MATCH(D762,Items!$A$5:$A$304,0))&amp;"",""))</f>
        <v/>
      </c>
      <c r="K762" s="35" t="n">
        <f aca="false">IF(A762="",0,IF(ISNUMBER(F762),F762,IFERROR(INDEX(Items!$D$5:$D$304,MATCH(D762,Items!$A$5:$A$304,0)),0)))</f>
        <v>0</v>
      </c>
      <c r="L762" s="35" t="n">
        <f aca="false">ROUND(N(E762)*K762*(1-N(G762)),2)</f>
        <v>0</v>
      </c>
      <c r="M762" s="36" t="n">
        <f aca="false">IF(A762="",0,IFERROR(INDEX(Items!$E$5:$E$304,MATCH(D762,Items!$A$5:$A$304,0)),0))</f>
        <v>0</v>
      </c>
      <c r="N762" s="37" t="str">
        <f aca="false">IF(A762="","",IFERROR(INDEX(Customers!$E$5:$E$204,MATCH(C762,Customers!$A$5:$A$204,0)),"?"))</f>
        <v/>
      </c>
      <c r="O762" s="38" t="str">
        <f aca="false">IF(A762="","",IF(N762=Settings!$B$17,"No","Yes"))</f>
        <v/>
      </c>
      <c r="P762" s="35" t="n">
        <f aca="false">IF(O762="Yes",ROUND(L762*M762,2),0)</f>
        <v>0</v>
      </c>
      <c r="Q762" s="35" t="n">
        <f aca="false">IF(O762="No",ROUND(L762*M762/2,2),0)</f>
        <v>0</v>
      </c>
      <c r="R762" s="35" t="n">
        <f aca="false">Q762</f>
        <v>0</v>
      </c>
      <c r="S762" s="35" t="n">
        <f aca="false">L762+P762+Q762+R762</f>
        <v>0</v>
      </c>
      <c r="T762" s="34" t="str">
        <f aca="false">IF(A762="","",IFERROR(INDEX(Customers!$B$5:$B$204,MATCH(C762,Customers!$A$5:$A$204,0))&amp;"",""))</f>
        <v/>
      </c>
      <c r="U762" s="38" t="str">
        <f aca="false">IF(A762="","",IF(T762&lt;&gt;"","B2B",IF(AND(O762="Yes",SUMIF($A$5:$A$1004,A762,$L$5:$L$1004)+SUMIF($A$5:$A$1004,A762,$P$5:$P$1004)&gt;100000),"B2CL","B2CS")))</f>
        <v/>
      </c>
      <c r="V762" s="17" t="str">
        <f aca="false">IF(A762="","",TEXT(B762,"mmm-yyyy"))</f>
        <v/>
      </c>
    </row>
    <row r="763" customFormat="false" ht="15" hidden="false" customHeight="true" outlineLevel="0" collapsed="false">
      <c r="A763" s="24"/>
      <c r="B763" s="39"/>
      <c r="C763" s="24"/>
      <c r="D763" s="24"/>
      <c r="E763" s="40"/>
      <c r="F763" s="29"/>
      <c r="G763" s="30"/>
      <c r="H763" s="17" t="str">
        <f aca="false">IF(A763="","",A763&amp;"|"&amp;COUNTIF(A$5:A763,A763))</f>
        <v/>
      </c>
      <c r="I763" s="33" t="str">
        <f aca="false">IF(A763="","",IFERROR(INDEX(Items!$B$5:$B$304,MATCH(D763,Items!$A$5:$A$304,0))&amp;"",""))</f>
        <v/>
      </c>
      <c r="J763" s="34" t="str">
        <f aca="false">IF(A763="","",IFERROR(INDEX(Items!$C$5:$C$304,MATCH(D763,Items!$A$5:$A$304,0))&amp;"",""))</f>
        <v/>
      </c>
      <c r="K763" s="35" t="n">
        <f aca="false">IF(A763="",0,IF(ISNUMBER(F763),F763,IFERROR(INDEX(Items!$D$5:$D$304,MATCH(D763,Items!$A$5:$A$304,0)),0)))</f>
        <v>0</v>
      </c>
      <c r="L763" s="35" t="n">
        <f aca="false">ROUND(N(E763)*K763*(1-N(G763)),2)</f>
        <v>0</v>
      </c>
      <c r="M763" s="36" t="n">
        <f aca="false">IF(A763="",0,IFERROR(INDEX(Items!$E$5:$E$304,MATCH(D763,Items!$A$5:$A$304,0)),0))</f>
        <v>0</v>
      </c>
      <c r="N763" s="37" t="str">
        <f aca="false">IF(A763="","",IFERROR(INDEX(Customers!$E$5:$E$204,MATCH(C763,Customers!$A$5:$A$204,0)),"?"))</f>
        <v/>
      </c>
      <c r="O763" s="38" t="str">
        <f aca="false">IF(A763="","",IF(N763=Settings!$B$17,"No","Yes"))</f>
        <v/>
      </c>
      <c r="P763" s="35" t="n">
        <f aca="false">IF(O763="Yes",ROUND(L763*M763,2),0)</f>
        <v>0</v>
      </c>
      <c r="Q763" s="35" t="n">
        <f aca="false">IF(O763="No",ROUND(L763*M763/2,2),0)</f>
        <v>0</v>
      </c>
      <c r="R763" s="35" t="n">
        <f aca="false">Q763</f>
        <v>0</v>
      </c>
      <c r="S763" s="35" t="n">
        <f aca="false">L763+P763+Q763+R763</f>
        <v>0</v>
      </c>
      <c r="T763" s="34" t="str">
        <f aca="false">IF(A763="","",IFERROR(INDEX(Customers!$B$5:$B$204,MATCH(C763,Customers!$A$5:$A$204,0))&amp;"",""))</f>
        <v/>
      </c>
      <c r="U763" s="38" t="str">
        <f aca="false">IF(A763="","",IF(T763&lt;&gt;"","B2B",IF(AND(O763="Yes",SUMIF($A$5:$A$1004,A763,$L$5:$L$1004)+SUMIF($A$5:$A$1004,A763,$P$5:$P$1004)&gt;100000),"B2CL","B2CS")))</f>
        <v/>
      </c>
      <c r="V763" s="17" t="str">
        <f aca="false">IF(A763="","",TEXT(B763,"mmm-yyyy"))</f>
        <v/>
      </c>
    </row>
    <row r="764" customFormat="false" ht="15" hidden="false" customHeight="true" outlineLevel="0" collapsed="false">
      <c r="A764" s="24"/>
      <c r="B764" s="39"/>
      <c r="C764" s="24"/>
      <c r="D764" s="24"/>
      <c r="E764" s="40"/>
      <c r="F764" s="29"/>
      <c r="G764" s="30"/>
      <c r="H764" s="17" t="str">
        <f aca="false">IF(A764="","",A764&amp;"|"&amp;COUNTIF(A$5:A764,A764))</f>
        <v/>
      </c>
      <c r="I764" s="33" t="str">
        <f aca="false">IF(A764="","",IFERROR(INDEX(Items!$B$5:$B$304,MATCH(D764,Items!$A$5:$A$304,0))&amp;"",""))</f>
        <v/>
      </c>
      <c r="J764" s="34" t="str">
        <f aca="false">IF(A764="","",IFERROR(INDEX(Items!$C$5:$C$304,MATCH(D764,Items!$A$5:$A$304,0))&amp;"",""))</f>
        <v/>
      </c>
      <c r="K764" s="35" t="n">
        <f aca="false">IF(A764="",0,IF(ISNUMBER(F764),F764,IFERROR(INDEX(Items!$D$5:$D$304,MATCH(D764,Items!$A$5:$A$304,0)),0)))</f>
        <v>0</v>
      </c>
      <c r="L764" s="35" t="n">
        <f aca="false">ROUND(N(E764)*K764*(1-N(G764)),2)</f>
        <v>0</v>
      </c>
      <c r="M764" s="36" t="n">
        <f aca="false">IF(A764="",0,IFERROR(INDEX(Items!$E$5:$E$304,MATCH(D764,Items!$A$5:$A$304,0)),0))</f>
        <v>0</v>
      </c>
      <c r="N764" s="37" t="str">
        <f aca="false">IF(A764="","",IFERROR(INDEX(Customers!$E$5:$E$204,MATCH(C764,Customers!$A$5:$A$204,0)),"?"))</f>
        <v/>
      </c>
      <c r="O764" s="38" t="str">
        <f aca="false">IF(A764="","",IF(N764=Settings!$B$17,"No","Yes"))</f>
        <v/>
      </c>
      <c r="P764" s="35" t="n">
        <f aca="false">IF(O764="Yes",ROUND(L764*M764,2),0)</f>
        <v>0</v>
      </c>
      <c r="Q764" s="35" t="n">
        <f aca="false">IF(O764="No",ROUND(L764*M764/2,2),0)</f>
        <v>0</v>
      </c>
      <c r="R764" s="35" t="n">
        <f aca="false">Q764</f>
        <v>0</v>
      </c>
      <c r="S764" s="35" t="n">
        <f aca="false">L764+P764+Q764+R764</f>
        <v>0</v>
      </c>
      <c r="T764" s="34" t="str">
        <f aca="false">IF(A764="","",IFERROR(INDEX(Customers!$B$5:$B$204,MATCH(C764,Customers!$A$5:$A$204,0))&amp;"",""))</f>
        <v/>
      </c>
      <c r="U764" s="38" t="str">
        <f aca="false">IF(A764="","",IF(T764&lt;&gt;"","B2B",IF(AND(O764="Yes",SUMIF($A$5:$A$1004,A764,$L$5:$L$1004)+SUMIF($A$5:$A$1004,A764,$P$5:$P$1004)&gt;100000),"B2CL","B2CS")))</f>
        <v/>
      </c>
      <c r="V764" s="17" t="str">
        <f aca="false">IF(A764="","",TEXT(B764,"mmm-yyyy"))</f>
        <v/>
      </c>
    </row>
    <row r="765" customFormat="false" ht="15" hidden="false" customHeight="true" outlineLevel="0" collapsed="false">
      <c r="A765" s="24"/>
      <c r="B765" s="39"/>
      <c r="C765" s="24"/>
      <c r="D765" s="24"/>
      <c r="E765" s="40"/>
      <c r="F765" s="29"/>
      <c r="G765" s="30"/>
      <c r="H765" s="17" t="str">
        <f aca="false">IF(A765="","",A765&amp;"|"&amp;COUNTIF(A$5:A765,A765))</f>
        <v/>
      </c>
      <c r="I765" s="33" t="str">
        <f aca="false">IF(A765="","",IFERROR(INDEX(Items!$B$5:$B$304,MATCH(D765,Items!$A$5:$A$304,0))&amp;"",""))</f>
        <v/>
      </c>
      <c r="J765" s="34" t="str">
        <f aca="false">IF(A765="","",IFERROR(INDEX(Items!$C$5:$C$304,MATCH(D765,Items!$A$5:$A$304,0))&amp;"",""))</f>
        <v/>
      </c>
      <c r="K765" s="35" t="n">
        <f aca="false">IF(A765="",0,IF(ISNUMBER(F765),F765,IFERROR(INDEX(Items!$D$5:$D$304,MATCH(D765,Items!$A$5:$A$304,0)),0)))</f>
        <v>0</v>
      </c>
      <c r="L765" s="35" t="n">
        <f aca="false">ROUND(N(E765)*K765*(1-N(G765)),2)</f>
        <v>0</v>
      </c>
      <c r="M765" s="36" t="n">
        <f aca="false">IF(A765="",0,IFERROR(INDEX(Items!$E$5:$E$304,MATCH(D765,Items!$A$5:$A$304,0)),0))</f>
        <v>0</v>
      </c>
      <c r="N765" s="37" t="str">
        <f aca="false">IF(A765="","",IFERROR(INDEX(Customers!$E$5:$E$204,MATCH(C765,Customers!$A$5:$A$204,0)),"?"))</f>
        <v/>
      </c>
      <c r="O765" s="38" t="str">
        <f aca="false">IF(A765="","",IF(N765=Settings!$B$17,"No","Yes"))</f>
        <v/>
      </c>
      <c r="P765" s="35" t="n">
        <f aca="false">IF(O765="Yes",ROUND(L765*M765,2),0)</f>
        <v>0</v>
      </c>
      <c r="Q765" s="35" t="n">
        <f aca="false">IF(O765="No",ROUND(L765*M765/2,2),0)</f>
        <v>0</v>
      </c>
      <c r="R765" s="35" t="n">
        <f aca="false">Q765</f>
        <v>0</v>
      </c>
      <c r="S765" s="35" t="n">
        <f aca="false">L765+P765+Q765+R765</f>
        <v>0</v>
      </c>
      <c r="T765" s="34" t="str">
        <f aca="false">IF(A765="","",IFERROR(INDEX(Customers!$B$5:$B$204,MATCH(C765,Customers!$A$5:$A$204,0))&amp;"",""))</f>
        <v/>
      </c>
      <c r="U765" s="38" t="str">
        <f aca="false">IF(A765="","",IF(T765&lt;&gt;"","B2B",IF(AND(O765="Yes",SUMIF($A$5:$A$1004,A765,$L$5:$L$1004)+SUMIF($A$5:$A$1004,A765,$P$5:$P$1004)&gt;100000),"B2CL","B2CS")))</f>
        <v/>
      </c>
      <c r="V765" s="17" t="str">
        <f aca="false">IF(A765="","",TEXT(B765,"mmm-yyyy"))</f>
        <v/>
      </c>
    </row>
    <row r="766" customFormat="false" ht="15" hidden="false" customHeight="true" outlineLevel="0" collapsed="false">
      <c r="A766" s="24"/>
      <c r="B766" s="39"/>
      <c r="C766" s="24"/>
      <c r="D766" s="24"/>
      <c r="E766" s="40"/>
      <c r="F766" s="29"/>
      <c r="G766" s="30"/>
      <c r="H766" s="17" t="str">
        <f aca="false">IF(A766="","",A766&amp;"|"&amp;COUNTIF(A$5:A766,A766))</f>
        <v/>
      </c>
      <c r="I766" s="33" t="str">
        <f aca="false">IF(A766="","",IFERROR(INDEX(Items!$B$5:$B$304,MATCH(D766,Items!$A$5:$A$304,0))&amp;"",""))</f>
        <v/>
      </c>
      <c r="J766" s="34" t="str">
        <f aca="false">IF(A766="","",IFERROR(INDEX(Items!$C$5:$C$304,MATCH(D766,Items!$A$5:$A$304,0))&amp;"",""))</f>
        <v/>
      </c>
      <c r="K766" s="35" t="n">
        <f aca="false">IF(A766="",0,IF(ISNUMBER(F766),F766,IFERROR(INDEX(Items!$D$5:$D$304,MATCH(D766,Items!$A$5:$A$304,0)),0)))</f>
        <v>0</v>
      </c>
      <c r="L766" s="35" t="n">
        <f aca="false">ROUND(N(E766)*K766*(1-N(G766)),2)</f>
        <v>0</v>
      </c>
      <c r="M766" s="36" t="n">
        <f aca="false">IF(A766="",0,IFERROR(INDEX(Items!$E$5:$E$304,MATCH(D766,Items!$A$5:$A$304,0)),0))</f>
        <v>0</v>
      </c>
      <c r="N766" s="37" t="str">
        <f aca="false">IF(A766="","",IFERROR(INDEX(Customers!$E$5:$E$204,MATCH(C766,Customers!$A$5:$A$204,0)),"?"))</f>
        <v/>
      </c>
      <c r="O766" s="38" t="str">
        <f aca="false">IF(A766="","",IF(N766=Settings!$B$17,"No","Yes"))</f>
        <v/>
      </c>
      <c r="P766" s="35" t="n">
        <f aca="false">IF(O766="Yes",ROUND(L766*M766,2),0)</f>
        <v>0</v>
      </c>
      <c r="Q766" s="35" t="n">
        <f aca="false">IF(O766="No",ROUND(L766*M766/2,2),0)</f>
        <v>0</v>
      </c>
      <c r="R766" s="35" t="n">
        <f aca="false">Q766</f>
        <v>0</v>
      </c>
      <c r="S766" s="35" t="n">
        <f aca="false">L766+P766+Q766+R766</f>
        <v>0</v>
      </c>
      <c r="T766" s="34" t="str">
        <f aca="false">IF(A766="","",IFERROR(INDEX(Customers!$B$5:$B$204,MATCH(C766,Customers!$A$5:$A$204,0))&amp;"",""))</f>
        <v/>
      </c>
      <c r="U766" s="38" t="str">
        <f aca="false">IF(A766="","",IF(T766&lt;&gt;"","B2B",IF(AND(O766="Yes",SUMIF($A$5:$A$1004,A766,$L$5:$L$1004)+SUMIF($A$5:$A$1004,A766,$P$5:$P$1004)&gt;100000),"B2CL","B2CS")))</f>
        <v/>
      </c>
      <c r="V766" s="17" t="str">
        <f aca="false">IF(A766="","",TEXT(B766,"mmm-yyyy"))</f>
        <v/>
      </c>
    </row>
    <row r="767" customFormat="false" ht="15" hidden="false" customHeight="true" outlineLevel="0" collapsed="false">
      <c r="A767" s="24"/>
      <c r="B767" s="39"/>
      <c r="C767" s="24"/>
      <c r="D767" s="24"/>
      <c r="E767" s="40"/>
      <c r="F767" s="29"/>
      <c r="G767" s="30"/>
      <c r="H767" s="17" t="str">
        <f aca="false">IF(A767="","",A767&amp;"|"&amp;COUNTIF(A$5:A767,A767))</f>
        <v/>
      </c>
      <c r="I767" s="33" t="str">
        <f aca="false">IF(A767="","",IFERROR(INDEX(Items!$B$5:$B$304,MATCH(D767,Items!$A$5:$A$304,0))&amp;"",""))</f>
        <v/>
      </c>
      <c r="J767" s="34" t="str">
        <f aca="false">IF(A767="","",IFERROR(INDEX(Items!$C$5:$C$304,MATCH(D767,Items!$A$5:$A$304,0))&amp;"",""))</f>
        <v/>
      </c>
      <c r="K767" s="35" t="n">
        <f aca="false">IF(A767="",0,IF(ISNUMBER(F767),F767,IFERROR(INDEX(Items!$D$5:$D$304,MATCH(D767,Items!$A$5:$A$304,0)),0)))</f>
        <v>0</v>
      </c>
      <c r="L767" s="35" t="n">
        <f aca="false">ROUND(N(E767)*K767*(1-N(G767)),2)</f>
        <v>0</v>
      </c>
      <c r="M767" s="36" t="n">
        <f aca="false">IF(A767="",0,IFERROR(INDEX(Items!$E$5:$E$304,MATCH(D767,Items!$A$5:$A$304,0)),0))</f>
        <v>0</v>
      </c>
      <c r="N767" s="37" t="str">
        <f aca="false">IF(A767="","",IFERROR(INDEX(Customers!$E$5:$E$204,MATCH(C767,Customers!$A$5:$A$204,0)),"?"))</f>
        <v/>
      </c>
      <c r="O767" s="38" t="str">
        <f aca="false">IF(A767="","",IF(N767=Settings!$B$17,"No","Yes"))</f>
        <v/>
      </c>
      <c r="P767" s="35" t="n">
        <f aca="false">IF(O767="Yes",ROUND(L767*M767,2),0)</f>
        <v>0</v>
      </c>
      <c r="Q767" s="35" t="n">
        <f aca="false">IF(O767="No",ROUND(L767*M767/2,2),0)</f>
        <v>0</v>
      </c>
      <c r="R767" s="35" t="n">
        <f aca="false">Q767</f>
        <v>0</v>
      </c>
      <c r="S767" s="35" t="n">
        <f aca="false">L767+P767+Q767+R767</f>
        <v>0</v>
      </c>
      <c r="T767" s="34" t="str">
        <f aca="false">IF(A767="","",IFERROR(INDEX(Customers!$B$5:$B$204,MATCH(C767,Customers!$A$5:$A$204,0))&amp;"",""))</f>
        <v/>
      </c>
      <c r="U767" s="38" t="str">
        <f aca="false">IF(A767="","",IF(T767&lt;&gt;"","B2B",IF(AND(O767="Yes",SUMIF($A$5:$A$1004,A767,$L$5:$L$1004)+SUMIF($A$5:$A$1004,A767,$P$5:$P$1004)&gt;100000),"B2CL","B2CS")))</f>
        <v/>
      </c>
      <c r="V767" s="17" t="str">
        <f aca="false">IF(A767="","",TEXT(B767,"mmm-yyyy"))</f>
        <v/>
      </c>
    </row>
    <row r="768" customFormat="false" ht="15" hidden="false" customHeight="true" outlineLevel="0" collapsed="false">
      <c r="A768" s="24"/>
      <c r="B768" s="39"/>
      <c r="C768" s="24"/>
      <c r="D768" s="24"/>
      <c r="E768" s="40"/>
      <c r="F768" s="29"/>
      <c r="G768" s="30"/>
      <c r="H768" s="17" t="str">
        <f aca="false">IF(A768="","",A768&amp;"|"&amp;COUNTIF(A$5:A768,A768))</f>
        <v/>
      </c>
      <c r="I768" s="33" t="str">
        <f aca="false">IF(A768="","",IFERROR(INDEX(Items!$B$5:$B$304,MATCH(D768,Items!$A$5:$A$304,0))&amp;"",""))</f>
        <v/>
      </c>
      <c r="J768" s="34" t="str">
        <f aca="false">IF(A768="","",IFERROR(INDEX(Items!$C$5:$C$304,MATCH(D768,Items!$A$5:$A$304,0))&amp;"",""))</f>
        <v/>
      </c>
      <c r="K768" s="35" t="n">
        <f aca="false">IF(A768="",0,IF(ISNUMBER(F768),F768,IFERROR(INDEX(Items!$D$5:$D$304,MATCH(D768,Items!$A$5:$A$304,0)),0)))</f>
        <v>0</v>
      </c>
      <c r="L768" s="35" t="n">
        <f aca="false">ROUND(N(E768)*K768*(1-N(G768)),2)</f>
        <v>0</v>
      </c>
      <c r="M768" s="36" t="n">
        <f aca="false">IF(A768="",0,IFERROR(INDEX(Items!$E$5:$E$304,MATCH(D768,Items!$A$5:$A$304,0)),0))</f>
        <v>0</v>
      </c>
      <c r="N768" s="37" t="str">
        <f aca="false">IF(A768="","",IFERROR(INDEX(Customers!$E$5:$E$204,MATCH(C768,Customers!$A$5:$A$204,0)),"?"))</f>
        <v/>
      </c>
      <c r="O768" s="38" t="str">
        <f aca="false">IF(A768="","",IF(N768=Settings!$B$17,"No","Yes"))</f>
        <v/>
      </c>
      <c r="P768" s="35" t="n">
        <f aca="false">IF(O768="Yes",ROUND(L768*M768,2),0)</f>
        <v>0</v>
      </c>
      <c r="Q768" s="35" t="n">
        <f aca="false">IF(O768="No",ROUND(L768*M768/2,2),0)</f>
        <v>0</v>
      </c>
      <c r="R768" s="35" t="n">
        <f aca="false">Q768</f>
        <v>0</v>
      </c>
      <c r="S768" s="35" t="n">
        <f aca="false">L768+P768+Q768+R768</f>
        <v>0</v>
      </c>
      <c r="T768" s="34" t="str">
        <f aca="false">IF(A768="","",IFERROR(INDEX(Customers!$B$5:$B$204,MATCH(C768,Customers!$A$5:$A$204,0))&amp;"",""))</f>
        <v/>
      </c>
      <c r="U768" s="38" t="str">
        <f aca="false">IF(A768="","",IF(T768&lt;&gt;"","B2B",IF(AND(O768="Yes",SUMIF($A$5:$A$1004,A768,$L$5:$L$1004)+SUMIF($A$5:$A$1004,A768,$P$5:$P$1004)&gt;100000),"B2CL","B2CS")))</f>
        <v/>
      </c>
      <c r="V768" s="17" t="str">
        <f aca="false">IF(A768="","",TEXT(B768,"mmm-yyyy"))</f>
        <v/>
      </c>
    </row>
    <row r="769" customFormat="false" ht="15" hidden="false" customHeight="true" outlineLevel="0" collapsed="false">
      <c r="A769" s="24"/>
      <c r="B769" s="39"/>
      <c r="C769" s="24"/>
      <c r="D769" s="24"/>
      <c r="E769" s="40"/>
      <c r="F769" s="29"/>
      <c r="G769" s="30"/>
      <c r="H769" s="17" t="str">
        <f aca="false">IF(A769="","",A769&amp;"|"&amp;COUNTIF(A$5:A769,A769))</f>
        <v/>
      </c>
      <c r="I769" s="33" t="str">
        <f aca="false">IF(A769="","",IFERROR(INDEX(Items!$B$5:$B$304,MATCH(D769,Items!$A$5:$A$304,0))&amp;"",""))</f>
        <v/>
      </c>
      <c r="J769" s="34" t="str">
        <f aca="false">IF(A769="","",IFERROR(INDEX(Items!$C$5:$C$304,MATCH(D769,Items!$A$5:$A$304,0))&amp;"",""))</f>
        <v/>
      </c>
      <c r="K769" s="35" t="n">
        <f aca="false">IF(A769="",0,IF(ISNUMBER(F769),F769,IFERROR(INDEX(Items!$D$5:$D$304,MATCH(D769,Items!$A$5:$A$304,0)),0)))</f>
        <v>0</v>
      </c>
      <c r="L769" s="35" t="n">
        <f aca="false">ROUND(N(E769)*K769*(1-N(G769)),2)</f>
        <v>0</v>
      </c>
      <c r="M769" s="36" t="n">
        <f aca="false">IF(A769="",0,IFERROR(INDEX(Items!$E$5:$E$304,MATCH(D769,Items!$A$5:$A$304,0)),0))</f>
        <v>0</v>
      </c>
      <c r="N769" s="37" t="str">
        <f aca="false">IF(A769="","",IFERROR(INDEX(Customers!$E$5:$E$204,MATCH(C769,Customers!$A$5:$A$204,0)),"?"))</f>
        <v/>
      </c>
      <c r="O769" s="38" t="str">
        <f aca="false">IF(A769="","",IF(N769=Settings!$B$17,"No","Yes"))</f>
        <v/>
      </c>
      <c r="P769" s="35" t="n">
        <f aca="false">IF(O769="Yes",ROUND(L769*M769,2),0)</f>
        <v>0</v>
      </c>
      <c r="Q769" s="35" t="n">
        <f aca="false">IF(O769="No",ROUND(L769*M769/2,2),0)</f>
        <v>0</v>
      </c>
      <c r="R769" s="35" t="n">
        <f aca="false">Q769</f>
        <v>0</v>
      </c>
      <c r="S769" s="35" t="n">
        <f aca="false">L769+P769+Q769+R769</f>
        <v>0</v>
      </c>
      <c r="T769" s="34" t="str">
        <f aca="false">IF(A769="","",IFERROR(INDEX(Customers!$B$5:$B$204,MATCH(C769,Customers!$A$5:$A$204,0))&amp;"",""))</f>
        <v/>
      </c>
      <c r="U769" s="38" t="str">
        <f aca="false">IF(A769="","",IF(T769&lt;&gt;"","B2B",IF(AND(O769="Yes",SUMIF($A$5:$A$1004,A769,$L$5:$L$1004)+SUMIF($A$5:$A$1004,A769,$P$5:$P$1004)&gt;100000),"B2CL","B2CS")))</f>
        <v/>
      </c>
      <c r="V769" s="17" t="str">
        <f aca="false">IF(A769="","",TEXT(B769,"mmm-yyyy"))</f>
        <v/>
      </c>
    </row>
    <row r="770" customFormat="false" ht="15" hidden="false" customHeight="true" outlineLevel="0" collapsed="false">
      <c r="A770" s="24"/>
      <c r="B770" s="39"/>
      <c r="C770" s="24"/>
      <c r="D770" s="24"/>
      <c r="E770" s="40"/>
      <c r="F770" s="29"/>
      <c r="G770" s="30"/>
      <c r="H770" s="17" t="str">
        <f aca="false">IF(A770="","",A770&amp;"|"&amp;COUNTIF(A$5:A770,A770))</f>
        <v/>
      </c>
      <c r="I770" s="33" t="str">
        <f aca="false">IF(A770="","",IFERROR(INDEX(Items!$B$5:$B$304,MATCH(D770,Items!$A$5:$A$304,0))&amp;"",""))</f>
        <v/>
      </c>
      <c r="J770" s="34" t="str">
        <f aca="false">IF(A770="","",IFERROR(INDEX(Items!$C$5:$C$304,MATCH(D770,Items!$A$5:$A$304,0))&amp;"",""))</f>
        <v/>
      </c>
      <c r="K770" s="35" t="n">
        <f aca="false">IF(A770="",0,IF(ISNUMBER(F770),F770,IFERROR(INDEX(Items!$D$5:$D$304,MATCH(D770,Items!$A$5:$A$304,0)),0)))</f>
        <v>0</v>
      </c>
      <c r="L770" s="35" t="n">
        <f aca="false">ROUND(N(E770)*K770*(1-N(G770)),2)</f>
        <v>0</v>
      </c>
      <c r="M770" s="36" t="n">
        <f aca="false">IF(A770="",0,IFERROR(INDEX(Items!$E$5:$E$304,MATCH(D770,Items!$A$5:$A$304,0)),0))</f>
        <v>0</v>
      </c>
      <c r="N770" s="37" t="str">
        <f aca="false">IF(A770="","",IFERROR(INDEX(Customers!$E$5:$E$204,MATCH(C770,Customers!$A$5:$A$204,0)),"?"))</f>
        <v/>
      </c>
      <c r="O770" s="38" t="str">
        <f aca="false">IF(A770="","",IF(N770=Settings!$B$17,"No","Yes"))</f>
        <v/>
      </c>
      <c r="P770" s="35" t="n">
        <f aca="false">IF(O770="Yes",ROUND(L770*M770,2),0)</f>
        <v>0</v>
      </c>
      <c r="Q770" s="35" t="n">
        <f aca="false">IF(O770="No",ROUND(L770*M770/2,2),0)</f>
        <v>0</v>
      </c>
      <c r="R770" s="35" t="n">
        <f aca="false">Q770</f>
        <v>0</v>
      </c>
      <c r="S770" s="35" t="n">
        <f aca="false">L770+P770+Q770+R770</f>
        <v>0</v>
      </c>
      <c r="T770" s="34" t="str">
        <f aca="false">IF(A770="","",IFERROR(INDEX(Customers!$B$5:$B$204,MATCH(C770,Customers!$A$5:$A$204,0))&amp;"",""))</f>
        <v/>
      </c>
      <c r="U770" s="38" t="str">
        <f aca="false">IF(A770="","",IF(T770&lt;&gt;"","B2B",IF(AND(O770="Yes",SUMIF($A$5:$A$1004,A770,$L$5:$L$1004)+SUMIF($A$5:$A$1004,A770,$P$5:$P$1004)&gt;100000),"B2CL","B2CS")))</f>
        <v/>
      </c>
      <c r="V770" s="17" t="str">
        <f aca="false">IF(A770="","",TEXT(B770,"mmm-yyyy"))</f>
        <v/>
      </c>
    </row>
    <row r="771" customFormat="false" ht="15" hidden="false" customHeight="true" outlineLevel="0" collapsed="false">
      <c r="A771" s="24"/>
      <c r="B771" s="39"/>
      <c r="C771" s="24"/>
      <c r="D771" s="24"/>
      <c r="E771" s="40"/>
      <c r="F771" s="29"/>
      <c r="G771" s="30"/>
      <c r="H771" s="17" t="str">
        <f aca="false">IF(A771="","",A771&amp;"|"&amp;COUNTIF(A$5:A771,A771))</f>
        <v/>
      </c>
      <c r="I771" s="33" t="str">
        <f aca="false">IF(A771="","",IFERROR(INDEX(Items!$B$5:$B$304,MATCH(D771,Items!$A$5:$A$304,0))&amp;"",""))</f>
        <v/>
      </c>
      <c r="J771" s="34" t="str">
        <f aca="false">IF(A771="","",IFERROR(INDEX(Items!$C$5:$C$304,MATCH(D771,Items!$A$5:$A$304,0))&amp;"",""))</f>
        <v/>
      </c>
      <c r="K771" s="35" t="n">
        <f aca="false">IF(A771="",0,IF(ISNUMBER(F771),F771,IFERROR(INDEX(Items!$D$5:$D$304,MATCH(D771,Items!$A$5:$A$304,0)),0)))</f>
        <v>0</v>
      </c>
      <c r="L771" s="35" t="n">
        <f aca="false">ROUND(N(E771)*K771*(1-N(G771)),2)</f>
        <v>0</v>
      </c>
      <c r="M771" s="36" t="n">
        <f aca="false">IF(A771="",0,IFERROR(INDEX(Items!$E$5:$E$304,MATCH(D771,Items!$A$5:$A$304,0)),0))</f>
        <v>0</v>
      </c>
      <c r="N771" s="37" t="str">
        <f aca="false">IF(A771="","",IFERROR(INDEX(Customers!$E$5:$E$204,MATCH(C771,Customers!$A$5:$A$204,0)),"?"))</f>
        <v/>
      </c>
      <c r="O771" s="38" t="str">
        <f aca="false">IF(A771="","",IF(N771=Settings!$B$17,"No","Yes"))</f>
        <v/>
      </c>
      <c r="P771" s="35" t="n">
        <f aca="false">IF(O771="Yes",ROUND(L771*M771,2),0)</f>
        <v>0</v>
      </c>
      <c r="Q771" s="35" t="n">
        <f aca="false">IF(O771="No",ROUND(L771*M771/2,2),0)</f>
        <v>0</v>
      </c>
      <c r="R771" s="35" t="n">
        <f aca="false">Q771</f>
        <v>0</v>
      </c>
      <c r="S771" s="35" t="n">
        <f aca="false">L771+P771+Q771+R771</f>
        <v>0</v>
      </c>
      <c r="T771" s="34" t="str">
        <f aca="false">IF(A771="","",IFERROR(INDEX(Customers!$B$5:$B$204,MATCH(C771,Customers!$A$5:$A$204,0))&amp;"",""))</f>
        <v/>
      </c>
      <c r="U771" s="38" t="str">
        <f aca="false">IF(A771="","",IF(T771&lt;&gt;"","B2B",IF(AND(O771="Yes",SUMIF($A$5:$A$1004,A771,$L$5:$L$1004)+SUMIF($A$5:$A$1004,A771,$P$5:$P$1004)&gt;100000),"B2CL","B2CS")))</f>
        <v/>
      </c>
      <c r="V771" s="17" t="str">
        <f aca="false">IF(A771="","",TEXT(B771,"mmm-yyyy"))</f>
        <v/>
      </c>
    </row>
    <row r="772" customFormat="false" ht="15" hidden="false" customHeight="true" outlineLevel="0" collapsed="false">
      <c r="A772" s="24"/>
      <c r="B772" s="39"/>
      <c r="C772" s="24"/>
      <c r="D772" s="24"/>
      <c r="E772" s="40"/>
      <c r="F772" s="29"/>
      <c r="G772" s="30"/>
      <c r="H772" s="17" t="str">
        <f aca="false">IF(A772="","",A772&amp;"|"&amp;COUNTIF(A$5:A772,A772))</f>
        <v/>
      </c>
      <c r="I772" s="33" t="str">
        <f aca="false">IF(A772="","",IFERROR(INDEX(Items!$B$5:$B$304,MATCH(D772,Items!$A$5:$A$304,0))&amp;"",""))</f>
        <v/>
      </c>
      <c r="J772" s="34" t="str">
        <f aca="false">IF(A772="","",IFERROR(INDEX(Items!$C$5:$C$304,MATCH(D772,Items!$A$5:$A$304,0))&amp;"",""))</f>
        <v/>
      </c>
      <c r="K772" s="35" t="n">
        <f aca="false">IF(A772="",0,IF(ISNUMBER(F772),F772,IFERROR(INDEX(Items!$D$5:$D$304,MATCH(D772,Items!$A$5:$A$304,0)),0)))</f>
        <v>0</v>
      </c>
      <c r="L772" s="35" t="n">
        <f aca="false">ROUND(N(E772)*K772*(1-N(G772)),2)</f>
        <v>0</v>
      </c>
      <c r="M772" s="36" t="n">
        <f aca="false">IF(A772="",0,IFERROR(INDEX(Items!$E$5:$E$304,MATCH(D772,Items!$A$5:$A$304,0)),0))</f>
        <v>0</v>
      </c>
      <c r="N772" s="37" t="str">
        <f aca="false">IF(A772="","",IFERROR(INDEX(Customers!$E$5:$E$204,MATCH(C772,Customers!$A$5:$A$204,0)),"?"))</f>
        <v/>
      </c>
      <c r="O772" s="38" t="str">
        <f aca="false">IF(A772="","",IF(N772=Settings!$B$17,"No","Yes"))</f>
        <v/>
      </c>
      <c r="P772" s="35" t="n">
        <f aca="false">IF(O772="Yes",ROUND(L772*M772,2),0)</f>
        <v>0</v>
      </c>
      <c r="Q772" s="35" t="n">
        <f aca="false">IF(O772="No",ROUND(L772*M772/2,2),0)</f>
        <v>0</v>
      </c>
      <c r="R772" s="35" t="n">
        <f aca="false">Q772</f>
        <v>0</v>
      </c>
      <c r="S772" s="35" t="n">
        <f aca="false">L772+P772+Q772+R772</f>
        <v>0</v>
      </c>
      <c r="T772" s="34" t="str">
        <f aca="false">IF(A772="","",IFERROR(INDEX(Customers!$B$5:$B$204,MATCH(C772,Customers!$A$5:$A$204,0))&amp;"",""))</f>
        <v/>
      </c>
      <c r="U772" s="38" t="str">
        <f aca="false">IF(A772="","",IF(T772&lt;&gt;"","B2B",IF(AND(O772="Yes",SUMIF($A$5:$A$1004,A772,$L$5:$L$1004)+SUMIF($A$5:$A$1004,A772,$P$5:$P$1004)&gt;100000),"B2CL","B2CS")))</f>
        <v/>
      </c>
      <c r="V772" s="17" t="str">
        <f aca="false">IF(A772="","",TEXT(B772,"mmm-yyyy"))</f>
        <v/>
      </c>
    </row>
    <row r="773" customFormat="false" ht="15" hidden="false" customHeight="true" outlineLevel="0" collapsed="false">
      <c r="A773" s="24"/>
      <c r="B773" s="39"/>
      <c r="C773" s="24"/>
      <c r="D773" s="24"/>
      <c r="E773" s="40"/>
      <c r="F773" s="29"/>
      <c r="G773" s="30"/>
      <c r="H773" s="17" t="str">
        <f aca="false">IF(A773="","",A773&amp;"|"&amp;COUNTIF(A$5:A773,A773))</f>
        <v/>
      </c>
      <c r="I773" s="33" t="str">
        <f aca="false">IF(A773="","",IFERROR(INDEX(Items!$B$5:$B$304,MATCH(D773,Items!$A$5:$A$304,0))&amp;"",""))</f>
        <v/>
      </c>
      <c r="J773" s="34" t="str">
        <f aca="false">IF(A773="","",IFERROR(INDEX(Items!$C$5:$C$304,MATCH(D773,Items!$A$5:$A$304,0))&amp;"",""))</f>
        <v/>
      </c>
      <c r="K773" s="35" t="n">
        <f aca="false">IF(A773="",0,IF(ISNUMBER(F773),F773,IFERROR(INDEX(Items!$D$5:$D$304,MATCH(D773,Items!$A$5:$A$304,0)),0)))</f>
        <v>0</v>
      </c>
      <c r="L773" s="35" t="n">
        <f aca="false">ROUND(N(E773)*K773*(1-N(G773)),2)</f>
        <v>0</v>
      </c>
      <c r="M773" s="36" t="n">
        <f aca="false">IF(A773="",0,IFERROR(INDEX(Items!$E$5:$E$304,MATCH(D773,Items!$A$5:$A$304,0)),0))</f>
        <v>0</v>
      </c>
      <c r="N773" s="37" t="str">
        <f aca="false">IF(A773="","",IFERROR(INDEX(Customers!$E$5:$E$204,MATCH(C773,Customers!$A$5:$A$204,0)),"?"))</f>
        <v/>
      </c>
      <c r="O773" s="38" t="str">
        <f aca="false">IF(A773="","",IF(N773=Settings!$B$17,"No","Yes"))</f>
        <v/>
      </c>
      <c r="P773" s="35" t="n">
        <f aca="false">IF(O773="Yes",ROUND(L773*M773,2),0)</f>
        <v>0</v>
      </c>
      <c r="Q773" s="35" t="n">
        <f aca="false">IF(O773="No",ROUND(L773*M773/2,2),0)</f>
        <v>0</v>
      </c>
      <c r="R773" s="35" t="n">
        <f aca="false">Q773</f>
        <v>0</v>
      </c>
      <c r="S773" s="35" t="n">
        <f aca="false">L773+P773+Q773+R773</f>
        <v>0</v>
      </c>
      <c r="T773" s="34" t="str">
        <f aca="false">IF(A773="","",IFERROR(INDEX(Customers!$B$5:$B$204,MATCH(C773,Customers!$A$5:$A$204,0))&amp;"",""))</f>
        <v/>
      </c>
      <c r="U773" s="38" t="str">
        <f aca="false">IF(A773="","",IF(T773&lt;&gt;"","B2B",IF(AND(O773="Yes",SUMIF($A$5:$A$1004,A773,$L$5:$L$1004)+SUMIF($A$5:$A$1004,A773,$P$5:$P$1004)&gt;100000),"B2CL","B2CS")))</f>
        <v/>
      </c>
      <c r="V773" s="17" t="str">
        <f aca="false">IF(A773="","",TEXT(B773,"mmm-yyyy"))</f>
        <v/>
      </c>
    </row>
    <row r="774" customFormat="false" ht="15" hidden="false" customHeight="true" outlineLevel="0" collapsed="false">
      <c r="A774" s="24"/>
      <c r="B774" s="39"/>
      <c r="C774" s="24"/>
      <c r="D774" s="24"/>
      <c r="E774" s="40"/>
      <c r="F774" s="29"/>
      <c r="G774" s="30"/>
      <c r="H774" s="17" t="str">
        <f aca="false">IF(A774="","",A774&amp;"|"&amp;COUNTIF(A$5:A774,A774))</f>
        <v/>
      </c>
      <c r="I774" s="33" t="str">
        <f aca="false">IF(A774="","",IFERROR(INDEX(Items!$B$5:$B$304,MATCH(D774,Items!$A$5:$A$304,0))&amp;"",""))</f>
        <v/>
      </c>
      <c r="J774" s="34" t="str">
        <f aca="false">IF(A774="","",IFERROR(INDEX(Items!$C$5:$C$304,MATCH(D774,Items!$A$5:$A$304,0))&amp;"",""))</f>
        <v/>
      </c>
      <c r="K774" s="35" t="n">
        <f aca="false">IF(A774="",0,IF(ISNUMBER(F774),F774,IFERROR(INDEX(Items!$D$5:$D$304,MATCH(D774,Items!$A$5:$A$304,0)),0)))</f>
        <v>0</v>
      </c>
      <c r="L774" s="35" t="n">
        <f aca="false">ROUND(N(E774)*K774*(1-N(G774)),2)</f>
        <v>0</v>
      </c>
      <c r="M774" s="36" t="n">
        <f aca="false">IF(A774="",0,IFERROR(INDEX(Items!$E$5:$E$304,MATCH(D774,Items!$A$5:$A$304,0)),0))</f>
        <v>0</v>
      </c>
      <c r="N774" s="37" t="str">
        <f aca="false">IF(A774="","",IFERROR(INDEX(Customers!$E$5:$E$204,MATCH(C774,Customers!$A$5:$A$204,0)),"?"))</f>
        <v/>
      </c>
      <c r="O774" s="38" t="str">
        <f aca="false">IF(A774="","",IF(N774=Settings!$B$17,"No","Yes"))</f>
        <v/>
      </c>
      <c r="P774" s="35" t="n">
        <f aca="false">IF(O774="Yes",ROUND(L774*M774,2),0)</f>
        <v>0</v>
      </c>
      <c r="Q774" s="35" t="n">
        <f aca="false">IF(O774="No",ROUND(L774*M774/2,2),0)</f>
        <v>0</v>
      </c>
      <c r="R774" s="35" t="n">
        <f aca="false">Q774</f>
        <v>0</v>
      </c>
      <c r="S774" s="35" t="n">
        <f aca="false">L774+P774+Q774+R774</f>
        <v>0</v>
      </c>
      <c r="T774" s="34" t="str">
        <f aca="false">IF(A774="","",IFERROR(INDEX(Customers!$B$5:$B$204,MATCH(C774,Customers!$A$5:$A$204,0))&amp;"",""))</f>
        <v/>
      </c>
      <c r="U774" s="38" t="str">
        <f aca="false">IF(A774="","",IF(T774&lt;&gt;"","B2B",IF(AND(O774="Yes",SUMIF($A$5:$A$1004,A774,$L$5:$L$1004)+SUMIF($A$5:$A$1004,A774,$P$5:$P$1004)&gt;100000),"B2CL","B2CS")))</f>
        <v/>
      </c>
      <c r="V774" s="17" t="str">
        <f aca="false">IF(A774="","",TEXT(B774,"mmm-yyyy"))</f>
        <v/>
      </c>
    </row>
    <row r="775" customFormat="false" ht="15" hidden="false" customHeight="true" outlineLevel="0" collapsed="false">
      <c r="A775" s="24"/>
      <c r="B775" s="39"/>
      <c r="C775" s="24"/>
      <c r="D775" s="24"/>
      <c r="E775" s="40"/>
      <c r="F775" s="29"/>
      <c r="G775" s="30"/>
      <c r="H775" s="17" t="str">
        <f aca="false">IF(A775="","",A775&amp;"|"&amp;COUNTIF(A$5:A775,A775))</f>
        <v/>
      </c>
      <c r="I775" s="33" t="str">
        <f aca="false">IF(A775="","",IFERROR(INDEX(Items!$B$5:$B$304,MATCH(D775,Items!$A$5:$A$304,0))&amp;"",""))</f>
        <v/>
      </c>
      <c r="J775" s="34" t="str">
        <f aca="false">IF(A775="","",IFERROR(INDEX(Items!$C$5:$C$304,MATCH(D775,Items!$A$5:$A$304,0))&amp;"",""))</f>
        <v/>
      </c>
      <c r="K775" s="35" t="n">
        <f aca="false">IF(A775="",0,IF(ISNUMBER(F775),F775,IFERROR(INDEX(Items!$D$5:$D$304,MATCH(D775,Items!$A$5:$A$304,0)),0)))</f>
        <v>0</v>
      </c>
      <c r="L775" s="35" t="n">
        <f aca="false">ROUND(N(E775)*K775*(1-N(G775)),2)</f>
        <v>0</v>
      </c>
      <c r="M775" s="36" t="n">
        <f aca="false">IF(A775="",0,IFERROR(INDEX(Items!$E$5:$E$304,MATCH(D775,Items!$A$5:$A$304,0)),0))</f>
        <v>0</v>
      </c>
      <c r="N775" s="37" t="str">
        <f aca="false">IF(A775="","",IFERROR(INDEX(Customers!$E$5:$E$204,MATCH(C775,Customers!$A$5:$A$204,0)),"?"))</f>
        <v/>
      </c>
      <c r="O775" s="38" t="str">
        <f aca="false">IF(A775="","",IF(N775=Settings!$B$17,"No","Yes"))</f>
        <v/>
      </c>
      <c r="P775" s="35" t="n">
        <f aca="false">IF(O775="Yes",ROUND(L775*M775,2),0)</f>
        <v>0</v>
      </c>
      <c r="Q775" s="35" t="n">
        <f aca="false">IF(O775="No",ROUND(L775*M775/2,2),0)</f>
        <v>0</v>
      </c>
      <c r="R775" s="35" t="n">
        <f aca="false">Q775</f>
        <v>0</v>
      </c>
      <c r="S775" s="35" t="n">
        <f aca="false">L775+P775+Q775+R775</f>
        <v>0</v>
      </c>
      <c r="T775" s="34" t="str">
        <f aca="false">IF(A775="","",IFERROR(INDEX(Customers!$B$5:$B$204,MATCH(C775,Customers!$A$5:$A$204,0))&amp;"",""))</f>
        <v/>
      </c>
      <c r="U775" s="38" t="str">
        <f aca="false">IF(A775="","",IF(T775&lt;&gt;"","B2B",IF(AND(O775="Yes",SUMIF($A$5:$A$1004,A775,$L$5:$L$1004)+SUMIF($A$5:$A$1004,A775,$P$5:$P$1004)&gt;100000),"B2CL","B2CS")))</f>
        <v/>
      </c>
      <c r="V775" s="17" t="str">
        <f aca="false">IF(A775="","",TEXT(B775,"mmm-yyyy"))</f>
        <v/>
      </c>
    </row>
    <row r="776" customFormat="false" ht="15" hidden="false" customHeight="true" outlineLevel="0" collapsed="false">
      <c r="A776" s="24"/>
      <c r="B776" s="39"/>
      <c r="C776" s="24"/>
      <c r="D776" s="24"/>
      <c r="E776" s="40"/>
      <c r="F776" s="29"/>
      <c r="G776" s="30"/>
      <c r="H776" s="17" t="str">
        <f aca="false">IF(A776="","",A776&amp;"|"&amp;COUNTIF(A$5:A776,A776))</f>
        <v/>
      </c>
      <c r="I776" s="33" t="str">
        <f aca="false">IF(A776="","",IFERROR(INDEX(Items!$B$5:$B$304,MATCH(D776,Items!$A$5:$A$304,0))&amp;"",""))</f>
        <v/>
      </c>
      <c r="J776" s="34" t="str">
        <f aca="false">IF(A776="","",IFERROR(INDEX(Items!$C$5:$C$304,MATCH(D776,Items!$A$5:$A$304,0))&amp;"",""))</f>
        <v/>
      </c>
      <c r="K776" s="35" t="n">
        <f aca="false">IF(A776="",0,IF(ISNUMBER(F776),F776,IFERROR(INDEX(Items!$D$5:$D$304,MATCH(D776,Items!$A$5:$A$304,0)),0)))</f>
        <v>0</v>
      </c>
      <c r="L776" s="35" t="n">
        <f aca="false">ROUND(N(E776)*K776*(1-N(G776)),2)</f>
        <v>0</v>
      </c>
      <c r="M776" s="36" t="n">
        <f aca="false">IF(A776="",0,IFERROR(INDEX(Items!$E$5:$E$304,MATCH(D776,Items!$A$5:$A$304,0)),0))</f>
        <v>0</v>
      </c>
      <c r="N776" s="37" t="str">
        <f aca="false">IF(A776="","",IFERROR(INDEX(Customers!$E$5:$E$204,MATCH(C776,Customers!$A$5:$A$204,0)),"?"))</f>
        <v/>
      </c>
      <c r="O776" s="38" t="str">
        <f aca="false">IF(A776="","",IF(N776=Settings!$B$17,"No","Yes"))</f>
        <v/>
      </c>
      <c r="P776" s="35" t="n">
        <f aca="false">IF(O776="Yes",ROUND(L776*M776,2),0)</f>
        <v>0</v>
      </c>
      <c r="Q776" s="35" t="n">
        <f aca="false">IF(O776="No",ROUND(L776*M776/2,2),0)</f>
        <v>0</v>
      </c>
      <c r="R776" s="35" t="n">
        <f aca="false">Q776</f>
        <v>0</v>
      </c>
      <c r="S776" s="35" t="n">
        <f aca="false">L776+P776+Q776+R776</f>
        <v>0</v>
      </c>
      <c r="T776" s="34" t="str">
        <f aca="false">IF(A776="","",IFERROR(INDEX(Customers!$B$5:$B$204,MATCH(C776,Customers!$A$5:$A$204,0))&amp;"",""))</f>
        <v/>
      </c>
      <c r="U776" s="38" t="str">
        <f aca="false">IF(A776="","",IF(T776&lt;&gt;"","B2B",IF(AND(O776="Yes",SUMIF($A$5:$A$1004,A776,$L$5:$L$1004)+SUMIF($A$5:$A$1004,A776,$P$5:$P$1004)&gt;100000),"B2CL","B2CS")))</f>
        <v/>
      </c>
      <c r="V776" s="17" t="str">
        <f aca="false">IF(A776="","",TEXT(B776,"mmm-yyyy"))</f>
        <v/>
      </c>
    </row>
    <row r="777" customFormat="false" ht="15" hidden="false" customHeight="true" outlineLevel="0" collapsed="false">
      <c r="A777" s="24"/>
      <c r="B777" s="39"/>
      <c r="C777" s="24"/>
      <c r="D777" s="24"/>
      <c r="E777" s="40"/>
      <c r="F777" s="29"/>
      <c r="G777" s="30"/>
      <c r="H777" s="17" t="str">
        <f aca="false">IF(A777="","",A777&amp;"|"&amp;COUNTIF(A$5:A777,A777))</f>
        <v/>
      </c>
      <c r="I777" s="33" t="str">
        <f aca="false">IF(A777="","",IFERROR(INDEX(Items!$B$5:$B$304,MATCH(D777,Items!$A$5:$A$304,0))&amp;"",""))</f>
        <v/>
      </c>
      <c r="J777" s="34" t="str">
        <f aca="false">IF(A777="","",IFERROR(INDEX(Items!$C$5:$C$304,MATCH(D777,Items!$A$5:$A$304,0))&amp;"",""))</f>
        <v/>
      </c>
      <c r="K777" s="35" t="n">
        <f aca="false">IF(A777="",0,IF(ISNUMBER(F777),F777,IFERROR(INDEX(Items!$D$5:$D$304,MATCH(D777,Items!$A$5:$A$304,0)),0)))</f>
        <v>0</v>
      </c>
      <c r="L777" s="35" t="n">
        <f aca="false">ROUND(N(E777)*K777*(1-N(G777)),2)</f>
        <v>0</v>
      </c>
      <c r="M777" s="36" t="n">
        <f aca="false">IF(A777="",0,IFERROR(INDEX(Items!$E$5:$E$304,MATCH(D777,Items!$A$5:$A$304,0)),0))</f>
        <v>0</v>
      </c>
      <c r="N777" s="37" t="str">
        <f aca="false">IF(A777="","",IFERROR(INDEX(Customers!$E$5:$E$204,MATCH(C777,Customers!$A$5:$A$204,0)),"?"))</f>
        <v/>
      </c>
      <c r="O777" s="38" t="str">
        <f aca="false">IF(A777="","",IF(N777=Settings!$B$17,"No","Yes"))</f>
        <v/>
      </c>
      <c r="P777" s="35" t="n">
        <f aca="false">IF(O777="Yes",ROUND(L777*M777,2),0)</f>
        <v>0</v>
      </c>
      <c r="Q777" s="35" t="n">
        <f aca="false">IF(O777="No",ROUND(L777*M777/2,2),0)</f>
        <v>0</v>
      </c>
      <c r="R777" s="35" t="n">
        <f aca="false">Q777</f>
        <v>0</v>
      </c>
      <c r="S777" s="35" t="n">
        <f aca="false">L777+P777+Q777+R777</f>
        <v>0</v>
      </c>
      <c r="T777" s="34" t="str">
        <f aca="false">IF(A777="","",IFERROR(INDEX(Customers!$B$5:$B$204,MATCH(C777,Customers!$A$5:$A$204,0))&amp;"",""))</f>
        <v/>
      </c>
      <c r="U777" s="38" t="str">
        <f aca="false">IF(A777="","",IF(T777&lt;&gt;"","B2B",IF(AND(O777="Yes",SUMIF($A$5:$A$1004,A777,$L$5:$L$1004)+SUMIF($A$5:$A$1004,A777,$P$5:$P$1004)&gt;100000),"B2CL","B2CS")))</f>
        <v/>
      </c>
      <c r="V777" s="17" t="str">
        <f aca="false">IF(A777="","",TEXT(B777,"mmm-yyyy"))</f>
        <v/>
      </c>
    </row>
    <row r="778" customFormat="false" ht="15" hidden="false" customHeight="true" outlineLevel="0" collapsed="false">
      <c r="A778" s="24"/>
      <c r="B778" s="39"/>
      <c r="C778" s="24"/>
      <c r="D778" s="24"/>
      <c r="E778" s="40"/>
      <c r="F778" s="29"/>
      <c r="G778" s="30"/>
      <c r="H778" s="17" t="str">
        <f aca="false">IF(A778="","",A778&amp;"|"&amp;COUNTIF(A$5:A778,A778))</f>
        <v/>
      </c>
      <c r="I778" s="33" t="str">
        <f aca="false">IF(A778="","",IFERROR(INDEX(Items!$B$5:$B$304,MATCH(D778,Items!$A$5:$A$304,0))&amp;"",""))</f>
        <v/>
      </c>
      <c r="J778" s="34" t="str">
        <f aca="false">IF(A778="","",IFERROR(INDEX(Items!$C$5:$C$304,MATCH(D778,Items!$A$5:$A$304,0))&amp;"",""))</f>
        <v/>
      </c>
      <c r="K778" s="35" t="n">
        <f aca="false">IF(A778="",0,IF(ISNUMBER(F778),F778,IFERROR(INDEX(Items!$D$5:$D$304,MATCH(D778,Items!$A$5:$A$304,0)),0)))</f>
        <v>0</v>
      </c>
      <c r="L778" s="35" t="n">
        <f aca="false">ROUND(N(E778)*K778*(1-N(G778)),2)</f>
        <v>0</v>
      </c>
      <c r="M778" s="36" t="n">
        <f aca="false">IF(A778="",0,IFERROR(INDEX(Items!$E$5:$E$304,MATCH(D778,Items!$A$5:$A$304,0)),0))</f>
        <v>0</v>
      </c>
      <c r="N778" s="37" t="str">
        <f aca="false">IF(A778="","",IFERROR(INDEX(Customers!$E$5:$E$204,MATCH(C778,Customers!$A$5:$A$204,0)),"?"))</f>
        <v/>
      </c>
      <c r="O778" s="38" t="str">
        <f aca="false">IF(A778="","",IF(N778=Settings!$B$17,"No","Yes"))</f>
        <v/>
      </c>
      <c r="P778" s="35" t="n">
        <f aca="false">IF(O778="Yes",ROUND(L778*M778,2),0)</f>
        <v>0</v>
      </c>
      <c r="Q778" s="35" t="n">
        <f aca="false">IF(O778="No",ROUND(L778*M778/2,2),0)</f>
        <v>0</v>
      </c>
      <c r="R778" s="35" t="n">
        <f aca="false">Q778</f>
        <v>0</v>
      </c>
      <c r="S778" s="35" t="n">
        <f aca="false">L778+P778+Q778+R778</f>
        <v>0</v>
      </c>
      <c r="T778" s="34" t="str">
        <f aca="false">IF(A778="","",IFERROR(INDEX(Customers!$B$5:$B$204,MATCH(C778,Customers!$A$5:$A$204,0))&amp;"",""))</f>
        <v/>
      </c>
      <c r="U778" s="38" t="str">
        <f aca="false">IF(A778="","",IF(T778&lt;&gt;"","B2B",IF(AND(O778="Yes",SUMIF($A$5:$A$1004,A778,$L$5:$L$1004)+SUMIF($A$5:$A$1004,A778,$P$5:$P$1004)&gt;100000),"B2CL","B2CS")))</f>
        <v/>
      </c>
      <c r="V778" s="17" t="str">
        <f aca="false">IF(A778="","",TEXT(B778,"mmm-yyyy"))</f>
        <v/>
      </c>
    </row>
    <row r="779" customFormat="false" ht="15" hidden="false" customHeight="true" outlineLevel="0" collapsed="false">
      <c r="A779" s="24"/>
      <c r="B779" s="39"/>
      <c r="C779" s="24"/>
      <c r="D779" s="24"/>
      <c r="E779" s="40"/>
      <c r="F779" s="29"/>
      <c r="G779" s="30"/>
      <c r="H779" s="17" t="str">
        <f aca="false">IF(A779="","",A779&amp;"|"&amp;COUNTIF(A$5:A779,A779))</f>
        <v/>
      </c>
      <c r="I779" s="33" t="str">
        <f aca="false">IF(A779="","",IFERROR(INDEX(Items!$B$5:$B$304,MATCH(D779,Items!$A$5:$A$304,0))&amp;"",""))</f>
        <v/>
      </c>
      <c r="J779" s="34" t="str">
        <f aca="false">IF(A779="","",IFERROR(INDEX(Items!$C$5:$C$304,MATCH(D779,Items!$A$5:$A$304,0))&amp;"",""))</f>
        <v/>
      </c>
      <c r="K779" s="35" t="n">
        <f aca="false">IF(A779="",0,IF(ISNUMBER(F779),F779,IFERROR(INDEX(Items!$D$5:$D$304,MATCH(D779,Items!$A$5:$A$304,0)),0)))</f>
        <v>0</v>
      </c>
      <c r="L779" s="35" t="n">
        <f aca="false">ROUND(N(E779)*K779*(1-N(G779)),2)</f>
        <v>0</v>
      </c>
      <c r="M779" s="36" t="n">
        <f aca="false">IF(A779="",0,IFERROR(INDEX(Items!$E$5:$E$304,MATCH(D779,Items!$A$5:$A$304,0)),0))</f>
        <v>0</v>
      </c>
      <c r="N779" s="37" t="str">
        <f aca="false">IF(A779="","",IFERROR(INDEX(Customers!$E$5:$E$204,MATCH(C779,Customers!$A$5:$A$204,0)),"?"))</f>
        <v/>
      </c>
      <c r="O779" s="38" t="str">
        <f aca="false">IF(A779="","",IF(N779=Settings!$B$17,"No","Yes"))</f>
        <v/>
      </c>
      <c r="P779" s="35" t="n">
        <f aca="false">IF(O779="Yes",ROUND(L779*M779,2),0)</f>
        <v>0</v>
      </c>
      <c r="Q779" s="35" t="n">
        <f aca="false">IF(O779="No",ROUND(L779*M779/2,2),0)</f>
        <v>0</v>
      </c>
      <c r="R779" s="35" t="n">
        <f aca="false">Q779</f>
        <v>0</v>
      </c>
      <c r="S779" s="35" t="n">
        <f aca="false">L779+P779+Q779+R779</f>
        <v>0</v>
      </c>
      <c r="T779" s="34" t="str">
        <f aca="false">IF(A779="","",IFERROR(INDEX(Customers!$B$5:$B$204,MATCH(C779,Customers!$A$5:$A$204,0))&amp;"",""))</f>
        <v/>
      </c>
      <c r="U779" s="38" t="str">
        <f aca="false">IF(A779="","",IF(T779&lt;&gt;"","B2B",IF(AND(O779="Yes",SUMIF($A$5:$A$1004,A779,$L$5:$L$1004)+SUMIF($A$5:$A$1004,A779,$P$5:$P$1004)&gt;100000),"B2CL","B2CS")))</f>
        <v/>
      </c>
      <c r="V779" s="17" t="str">
        <f aca="false">IF(A779="","",TEXT(B779,"mmm-yyyy"))</f>
        <v/>
      </c>
    </row>
    <row r="780" customFormat="false" ht="15" hidden="false" customHeight="true" outlineLevel="0" collapsed="false">
      <c r="A780" s="24"/>
      <c r="B780" s="39"/>
      <c r="C780" s="24"/>
      <c r="D780" s="24"/>
      <c r="E780" s="40"/>
      <c r="F780" s="29"/>
      <c r="G780" s="30"/>
      <c r="H780" s="17" t="str">
        <f aca="false">IF(A780="","",A780&amp;"|"&amp;COUNTIF(A$5:A780,A780))</f>
        <v/>
      </c>
      <c r="I780" s="33" t="str">
        <f aca="false">IF(A780="","",IFERROR(INDEX(Items!$B$5:$B$304,MATCH(D780,Items!$A$5:$A$304,0))&amp;"",""))</f>
        <v/>
      </c>
      <c r="J780" s="34" t="str">
        <f aca="false">IF(A780="","",IFERROR(INDEX(Items!$C$5:$C$304,MATCH(D780,Items!$A$5:$A$304,0))&amp;"",""))</f>
        <v/>
      </c>
      <c r="K780" s="35" t="n">
        <f aca="false">IF(A780="",0,IF(ISNUMBER(F780),F780,IFERROR(INDEX(Items!$D$5:$D$304,MATCH(D780,Items!$A$5:$A$304,0)),0)))</f>
        <v>0</v>
      </c>
      <c r="L780" s="35" t="n">
        <f aca="false">ROUND(N(E780)*K780*(1-N(G780)),2)</f>
        <v>0</v>
      </c>
      <c r="M780" s="36" t="n">
        <f aca="false">IF(A780="",0,IFERROR(INDEX(Items!$E$5:$E$304,MATCH(D780,Items!$A$5:$A$304,0)),0))</f>
        <v>0</v>
      </c>
      <c r="N780" s="37" t="str">
        <f aca="false">IF(A780="","",IFERROR(INDEX(Customers!$E$5:$E$204,MATCH(C780,Customers!$A$5:$A$204,0)),"?"))</f>
        <v/>
      </c>
      <c r="O780" s="38" t="str">
        <f aca="false">IF(A780="","",IF(N780=Settings!$B$17,"No","Yes"))</f>
        <v/>
      </c>
      <c r="P780" s="35" t="n">
        <f aca="false">IF(O780="Yes",ROUND(L780*M780,2),0)</f>
        <v>0</v>
      </c>
      <c r="Q780" s="35" t="n">
        <f aca="false">IF(O780="No",ROUND(L780*M780/2,2),0)</f>
        <v>0</v>
      </c>
      <c r="R780" s="35" t="n">
        <f aca="false">Q780</f>
        <v>0</v>
      </c>
      <c r="S780" s="35" t="n">
        <f aca="false">L780+P780+Q780+R780</f>
        <v>0</v>
      </c>
      <c r="T780" s="34" t="str">
        <f aca="false">IF(A780="","",IFERROR(INDEX(Customers!$B$5:$B$204,MATCH(C780,Customers!$A$5:$A$204,0))&amp;"",""))</f>
        <v/>
      </c>
      <c r="U780" s="38" t="str">
        <f aca="false">IF(A780="","",IF(T780&lt;&gt;"","B2B",IF(AND(O780="Yes",SUMIF($A$5:$A$1004,A780,$L$5:$L$1004)+SUMIF($A$5:$A$1004,A780,$P$5:$P$1004)&gt;100000),"B2CL","B2CS")))</f>
        <v/>
      </c>
      <c r="V780" s="17" t="str">
        <f aca="false">IF(A780="","",TEXT(B780,"mmm-yyyy"))</f>
        <v/>
      </c>
    </row>
    <row r="781" customFormat="false" ht="15" hidden="false" customHeight="true" outlineLevel="0" collapsed="false">
      <c r="A781" s="24"/>
      <c r="B781" s="39"/>
      <c r="C781" s="24"/>
      <c r="D781" s="24"/>
      <c r="E781" s="40"/>
      <c r="F781" s="29"/>
      <c r="G781" s="30"/>
      <c r="H781" s="17" t="str">
        <f aca="false">IF(A781="","",A781&amp;"|"&amp;COUNTIF(A$5:A781,A781))</f>
        <v/>
      </c>
      <c r="I781" s="33" t="str">
        <f aca="false">IF(A781="","",IFERROR(INDEX(Items!$B$5:$B$304,MATCH(D781,Items!$A$5:$A$304,0))&amp;"",""))</f>
        <v/>
      </c>
      <c r="J781" s="34" t="str">
        <f aca="false">IF(A781="","",IFERROR(INDEX(Items!$C$5:$C$304,MATCH(D781,Items!$A$5:$A$304,0))&amp;"",""))</f>
        <v/>
      </c>
      <c r="K781" s="35" t="n">
        <f aca="false">IF(A781="",0,IF(ISNUMBER(F781),F781,IFERROR(INDEX(Items!$D$5:$D$304,MATCH(D781,Items!$A$5:$A$304,0)),0)))</f>
        <v>0</v>
      </c>
      <c r="L781" s="35" t="n">
        <f aca="false">ROUND(N(E781)*K781*(1-N(G781)),2)</f>
        <v>0</v>
      </c>
      <c r="M781" s="36" t="n">
        <f aca="false">IF(A781="",0,IFERROR(INDEX(Items!$E$5:$E$304,MATCH(D781,Items!$A$5:$A$304,0)),0))</f>
        <v>0</v>
      </c>
      <c r="N781" s="37" t="str">
        <f aca="false">IF(A781="","",IFERROR(INDEX(Customers!$E$5:$E$204,MATCH(C781,Customers!$A$5:$A$204,0)),"?"))</f>
        <v/>
      </c>
      <c r="O781" s="38" t="str">
        <f aca="false">IF(A781="","",IF(N781=Settings!$B$17,"No","Yes"))</f>
        <v/>
      </c>
      <c r="P781" s="35" t="n">
        <f aca="false">IF(O781="Yes",ROUND(L781*M781,2),0)</f>
        <v>0</v>
      </c>
      <c r="Q781" s="35" t="n">
        <f aca="false">IF(O781="No",ROUND(L781*M781/2,2),0)</f>
        <v>0</v>
      </c>
      <c r="R781" s="35" t="n">
        <f aca="false">Q781</f>
        <v>0</v>
      </c>
      <c r="S781" s="35" t="n">
        <f aca="false">L781+P781+Q781+R781</f>
        <v>0</v>
      </c>
      <c r="T781" s="34" t="str">
        <f aca="false">IF(A781="","",IFERROR(INDEX(Customers!$B$5:$B$204,MATCH(C781,Customers!$A$5:$A$204,0))&amp;"",""))</f>
        <v/>
      </c>
      <c r="U781" s="38" t="str">
        <f aca="false">IF(A781="","",IF(T781&lt;&gt;"","B2B",IF(AND(O781="Yes",SUMIF($A$5:$A$1004,A781,$L$5:$L$1004)+SUMIF($A$5:$A$1004,A781,$P$5:$P$1004)&gt;100000),"B2CL","B2CS")))</f>
        <v/>
      </c>
      <c r="V781" s="17" t="str">
        <f aca="false">IF(A781="","",TEXT(B781,"mmm-yyyy"))</f>
        <v/>
      </c>
    </row>
    <row r="782" customFormat="false" ht="15" hidden="false" customHeight="true" outlineLevel="0" collapsed="false">
      <c r="A782" s="24"/>
      <c r="B782" s="39"/>
      <c r="C782" s="24"/>
      <c r="D782" s="24"/>
      <c r="E782" s="40"/>
      <c r="F782" s="29"/>
      <c r="G782" s="30"/>
      <c r="H782" s="17" t="str">
        <f aca="false">IF(A782="","",A782&amp;"|"&amp;COUNTIF(A$5:A782,A782))</f>
        <v/>
      </c>
      <c r="I782" s="33" t="str">
        <f aca="false">IF(A782="","",IFERROR(INDEX(Items!$B$5:$B$304,MATCH(D782,Items!$A$5:$A$304,0))&amp;"",""))</f>
        <v/>
      </c>
      <c r="J782" s="34" t="str">
        <f aca="false">IF(A782="","",IFERROR(INDEX(Items!$C$5:$C$304,MATCH(D782,Items!$A$5:$A$304,0))&amp;"",""))</f>
        <v/>
      </c>
      <c r="K782" s="35" t="n">
        <f aca="false">IF(A782="",0,IF(ISNUMBER(F782),F782,IFERROR(INDEX(Items!$D$5:$D$304,MATCH(D782,Items!$A$5:$A$304,0)),0)))</f>
        <v>0</v>
      </c>
      <c r="L782" s="35" t="n">
        <f aca="false">ROUND(N(E782)*K782*(1-N(G782)),2)</f>
        <v>0</v>
      </c>
      <c r="M782" s="36" t="n">
        <f aca="false">IF(A782="",0,IFERROR(INDEX(Items!$E$5:$E$304,MATCH(D782,Items!$A$5:$A$304,0)),0))</f>
        <v>0</v>
      </c>
      <c r="N782" s="37" t="str">
        <f aca="false">IF(A782="","",IFERROR(INDEX(Customers!$E$5:$E$204,MATCH(C782,Customers!$A$5:$A$204,0)),"?"))</f>
        <v/>
      </c>
      <c r="O782" s="38" t="str">
        <f aca="false">IF(A782="","",IF(N782=Settings!$B$17,"No","Yes"))</f>
        <v/>
      </c>
      <c r="P782" s="35" t="n">
        <f aca="false">IF(O782="Yes",ROUND(L782*M782,2),0)</f>
        <v>0</v>
      </c>
      <c r="Q782" s="35" t="n">
        <f aca="false">IF(O782="No",ROUND(L782*M782/2,2),0)</f>
        <v>0</v>
      </c>
      <c r="R782" s="35" t="n">
        <f aca="false">Q782</f>
        <v>0</v>
      </c>
      <c r="S782" s="35" t="n">
        <f aca="false">L782+P782+Q782+R782</f>
        <v>0</v>
      </c>
      <c r="T782" s="34" t="str">
        <f aca="false">IF(A782="","",IFERROR(INDEX(Customers!$B$5:$B$204,MATCH(C782,Customers!$A$5:$A$204,0))&amp;"",""))</f>
        <v/>
      </c>
      <c r="U782" s="38" t="str">
        <f aca="false">IF(A782="","",IF(T782&lt;&gt;"","B2B",IF(AND(O782="Yes",SUMIF($A$5:$A$1004,A782,$L$5:$L$1004)+SUMIF($A$5:$A$1004,A782,$P$5:$P$1004)&gt;100000),"B2CL","B2CS")))</f>
        <v/>
      </c>
      <c r="V782" s="17" t="str">
        <f aca="false">IF(A782="","",TEXT(B782,"mmm-yyyy"))</f>
        <v/>
      </c>
    </row>
    <row r="783" customFormat="false" ht="15" hidden="false" customHeight="true" outlineLevel="0" collapsed="false">
      <c r="A783" s="24"/>
      <c r="B783" s="39"/>
      <c r="C783" s="24"/>
      <c r="D783" s="24"/>
      <c r="E783" s="40"/>
      <c r="F783" s="29"/>
      <c r="G783" s="30"/>
      <c r="H783" s="17" t="str">
        <f aca="false">IF(A783="","",A783&amp;"|"&amp;COUNTIF(A$5:A783,A783))</f>
        <v/>
      </c>
      <c r="I783" s="33" t="str">
        <f aca="false">IF(A783="","",IFERROR(INDEX(Items!$B$5:$B$304,MATCH(D783,Items!$A$5:$A$304,0))&amp;"",""))</f>
        <v/>
      </c>
      <c r="J783" s="34" t="str">
        <f aca="false">IF(A783="","",IFERROR(INDEX(Items!$C$5:$C$304,MATCH(D783,Items!$A$5:$A$304,0))&amp;"",""))</f>
        <v/>
      </c>
      <c r="K783" s="35" t="n">
        <f aca="false">IF(A783="",0,IF(ISNUMBER(F783),F783,IFERROR(INDEX(Items!$D$5:$D$304,MATCH(D783,Items!$A$5:$A$304,0)),0)))</f>
        <v>0</v>
      </c>
      <c r="L783" s="35" t="n">
        <f aca="false">ROUND(N(E783)*K783*(1-N(G783)),2)</f>
        <v>0</v>
      </c>
      <c r="M783" s="36" t="n">
        <f aca="false">IF(A783="",0,IFERROR(INDEX(Items!$E$5:$E$304,MATCH(D783,Items!$A$5:$A$304,0)),0))</f>
        <v>0</v>
      </c>
      <c r="N783" s="37" t="str">
        <f aca="false">IF(A783="","",IFERROR(INDEX(Customers!$E$5:$E$204,MATCH(C783,Customers!$A$5:$A$204,0)),"?"))</f>
        <v/>
      </c>
      <c r="O783" s="38" t="str">
        <f aca="false">IF(A783="","",IF(N783=Settings!$B$17,"No","Yes"))</f>
        <v/>
      </c>
      <c r="P783" s="35" t="n">
        <f aca="false">IF(O783="Yes",ROUND(L783*M783,2),0)</f>
        <v>0</v>
      </c>
      <c r="Q783" s="35" t="n">
        <f aca="false">IF(O783="No",ROUND(L783*M783/2,2),0)</f>
        <v>0</v>
      </c>
      <c r="R783" s="35" t="n">
        <f aca="false">Q783</f>
        <v>0</v>
      </c>
      <c r="S783" s="35" t="n">
        <f aca="false">L783+P783+Q783+R783</f>
        <v>0</v>
      </c>
      <c r="T783" s="34" t="str">
        <f aca="false">IF(A783="","",IFERROR(INDEX(Customers!$B$5:$B$204,MATCH(C783,Customers!$A$5:$A$204,0))&amp;"",""))</f>
        <v/>
      </c>
      <c r="U783" s="38" t="str">
        <f aca="false">IF(A783="","",IF(T783&lt;&gt;"","B2B",IF(AND(O783="Yes",SUMIF($A$5:$A$1004,A783,$L$5:$L$1004)+SUMIF($A$5:$A$1004,A783,$P$5:$P$1004)&gt;100000),"B2CL","B2CS")))</f>
        <v/>
      </c>
      <c r="V783" s="17" t="str">
        <f aca="false">IF(A783="","",TEXT(B783,"mmm-yyyy"))</f>
        <v/>
      </c>
    </row>
    <row r="784" customFormat="false" ht="15" hidden="false" customHeight="true" outlineLevel="0" collapsed="false">
      <c r="A784" s="24"/>
      <c r="B784" s="39"/>
      <c r="C784" s="24"/>
      <c r="D784" s="24"/>
      <c r="E784" s="40"/>
      <c r="F784" s="29"/>
      <c r="G784" s="30"/>
      <c r="H784" s="17" t="str">
        <f aca="false">IF(A784="","",A784&amp;"|"&amp;COUNTIF(A$5:A784,A784))</f>
        <v/>
      </c>
      <c r="I784" s="33" t="str">
        <f aca="false">IF(A784="","",IFERROR(INDEX(Items!$B$5:$B$304,MATCH(D784,Items!$A$5:$A$304,0))&amp;"",""))</f>
        <v/>
      </c>
      <c r="J784" s="34" t="str">
        <f aca="false">IF(A784="","",IFERROR(INDEX(Items!$C$5:$C$304,MATCH(D784,Items!$A$5:$A$304,0))&amp;"",""))</f>
        <v/>
      </c>
      <c r="K784" s="35" t="n">
        <f aca="false">IF(A784="",0,IF(ISNUMBER(F784),F784,IFERROR(INDEX(Items!$D$5:$D$304,MATCH(D784,Items!$A$5:$A$304,0)),0)))</f>
        <v>0</v>
      </c>
      <c r="L784" s="35" t="n">
        <f aca="false">ROUND(N(E784)*K784*(1-N(G784)),2)</f>
        <v>0</v>
      </c>
      <c r="M784" s="36" t="n">
        <f aca="false">IF(A784="",0,IFERROR(INDEX(Items!$E$5:$E$304,MATCH(D784,Items!$A$5:$A$304,0)),0))</f>
        <v>0</v>
      </c>
      <c r="N784" s="37" t="str">
        <f aca="false">IF(A784="","",IFERROR(INDEX(Customers!$E$5:$E$204,MATCH(C784,Customers!$A$5:$A$204,0)),"?"))</f>
        <v/>
      </c>
      <c r="O784" s="38" t="str">
        <f aca="false">IF(A784="","",IF(N784=Settings!$B$17,"No","Yes"))</f>
        <v/>
      </c>
      <c r="P784" s="35" t="n">
        <f aca="false">IF(O784="Yes",ROUND(L784*M784,2),0)</f>
        <v>0</v>
      </c>
      <c r="Q784" s="35" t="n">
        <f aca="false">IF(O784="No",ROUND(L784*M784/2,2),0)</f>
        <v>0</v>
      </c>
      <c r="R784" s="35" t="n">
        <f aca="false">Q784</f>
        <v>0</v>
      </c>
      <c r="S784" s="35" t="n">
        <f aca="false">L784+P784+Q784+R784</f>
        <v>0</v>
      </c>
      <c r="T784" s="34" t="str">
        <f aca="false">IF(A784="","",IFERROR(INDEX(Customers!$B$5:$B$204,MATCH(C784,Customers!$A$5:$A$204,0))&amp;"",""))</f>
        <v/>
      </c>
      <c r="U784" s="38" t="str">
        <f aca="false">IF(A784="","",IF(T784&lt;&gt;"","B2B",IF(AND(O784="Yes",SUMIF($A$5:$A$1004,A784,$L$5:$L$1004)+SUMIF($A$5:$A$1004,A784,$P$5:$P$1004)&gt;100000),"B2CL","B2CS")))</f>
        <v/>
      </c>
      <c r="V784" s="17" t="str">
        <f aca="false">IF(A784="","",TEXT(B784,"mmm-yyyy"))</f>
        <v/>
      </c>
    </row>
    <row r="785" customFormat="false" ht="15" hidden="false" customHeight="true" outlineLevel="0" collapsed="false">
      <c r="A785" s="24"/>
      <c r="B785" s="39"/>
      <c r="C785" s="24"/>
      <c r="D785" s="24"/>
      <c r="E785" s="40"/>
      <c r="F785" s="29"/>
      <c r="G785" s="30"/>
      <c r="H785" s="17" t="str">
        <f aca="false">IF(A785="","",A785&amp;"|"&amp;COUNTIF(A$5:A785,A785))</f>
        <v/>
      </c>
      <c r="I785" s="33" t="str">
        <f aca="false">IF(A785="","",IFERROR(INDEX(Items!$B$5:$B$304,MATCH(D785,Items!$A$5:$A$304,0))&amp;"",""))</f>
        <v/>
      </c>
      <c r="J785" s="34" t="str">
        <f aca="false">IF(A785="","",IFERROR(INDEX(Items!$C$5:$C$304,MATCH(D785,Items!$A$5:$A$304,0))&amp;"",""))</f>
        <v/>
      </c>
      <c r="K785" s="35" t="n">
        <f aca="false">IF(A785="",0,IF(ISNUMBER(F785),F785,IFERROR(INDEX(Items!$D$5:$D$304,MATCH(D785,Items!$A$5:$A$304,0)),0)))</f>
        <v>0</v>
      </c>
      <c r="L785" s="35" t="n">
        <f aca="false">ROUND(N(E785)*K785*(1-N(G785)),2)</f>
        <v>0</v>
      </c>
      <c r="M785" s="36" t="n">
        <f aca="false">IF(A785="",0,IFERROR(INDEX(Items!$E$5:$E$304,MATCH(D785,Items!$A$5:$A$304,0)),0))</f>
        <v>0</v>
      </c>
      <c r="N785" s="37" t="str">
        <f aca="false">IF(A785="","",IFERROR(INDEX(Customers!$E$5:$E$204,MATCH(C785,Customers!$A$5:$A$204,0)),"?"))</f>
        <v/>
      </c>
      <c r="O785" s="38" t="str">
        <f aca="false">IF(A785="","",IF(N785=Settings!$B$17,"No","Yes"))</f>
        <v/>
      </c>
      <c r="P785" s="35" t="n">
        <f aca="false">IF(O785="Yes",ROUND(L785*M785,2),0)</f>
        <v>0</v>
      </c>
      <c r="Q785" s="35" t="n">
        <f aca="false">IF(O785="No",ROUND(L785*M785/2,2),0)</f>
        <v>0</v>
      </c>
      <c r="R785" s="35" t="n">
        <f aca="false">Q785</f>
        <v>0</v>
      </c>
      <c r="S785" s="35" t="n">
        <f aca="false">L785+P785+Q785+R785</f>
        <v>0</v>
      </c>
      <c r="T785" s="34" t="str">
        <f aca="false">IF(A785="","",IFERROR(INDEX(Customers!$B$5:$B$204,MATCH(C785,Customers!$A$5:$A$204,0))&amp;"",""))</f>
        <v/>
      </c>
      <c r="U785" s="38" t="str">
        <f aca="false">IF(A785="","",IF(T785&lt;&gt;"","B2B",IF(AND(O785="Yes",SUMIF($A$5:$A$1004,A785,$L$5:$L$1004)+SUMIF($A$5:$A$1004,A785,$P$5:$P$1004)&gt;100000),"B2CL","B2CS")))</f>
        <v/>
      </c>
      <c r="V785" s="17" t="str">
        <f aca="false">IF(A785="","",TEXT(B785,"mmm-yyyy"))</f>
        <v/>
      </c>
    </row>
    <row r="786" customFormat="false" ht="15" hidden="false" customHeight="true" outlineLevel="0" collapsed="false">
      <c r="A786" s="24"/>
      <c r="B786" s="39"/>
      <c r="C786" s="24"/>
      <c r="D786" s="24"/>
      <c r="E786" s="40"/>
      <c r="F786" s="29"/>
      <c r="G786" s="30"/>
      <c r="H786" s="17" t="str">
        <f aca="false">IF(A786="","",A786&amp;"|"&amp;COUNTIF(A$5:A786,A786))</f>
        <v/>
      </c>
      <c r="I786" s="33" t="str">
        <f aca="false">IF(A786="","",IFERROR(INDEX(Items!$B$5:$B$304,MATCH(D786,Items!$A$5:$A$304,0))&amp;"",""))</f>
        <v/>
      </c>
      <c r="J786" s="34" t="str">
        <f aca="false">IF(A786="","",IFERROR(INDEX(Items!$C$5:$C$304,MATCH(D786,Items!$A$5:$A$304,0))&amp;"",""))</f>
        <v/>
      </c>
      <c r="K786" s="35" t="n">
        <f aca="false">IF(A786="",0,IF(ISNUMBER(F786),F786,IFERROR(INDEX(Items!$D$5:$D$304,MATCH(D786,Items!$A$5:$A$304,0)),0)))</f>
        <v>0</v>
      </c>
      <c r="L786" s="35" t="n">
        <f aca="false">ROUND(N(E786)*K786*(1-N(G786)),2)</f>
        <v>0</v>
      </c>
      <c r="M786" s="36" t="n">
        <f aca="false">IF(A786="",0,IFERROR(INDEX(Items!$E$5:$E$304,MATCH(D786,Items!$A$5:$A$304,0)),0))</f>
        <v>0</v>
      </c>
      <c r="N786" s="37" t="str">
        <f aca="false">IF(A786="","",IFERROR(INDEX(Customers!$E$5:$E$204,MATCH(C786,Customers!$A$5:$A$204,0)),"?"))</f>
        <v/>
      </c>
      <c r="O786" s="38" t="str">
        <f aca="false">IF(A786="","",IF(N786=Settings!$B$17,"No","Yes"))</f>
        <v/>
      </c>
      <c r="P786" s="35" t="n">
        <f aca="false">IF(O786="Yes",ROUND(L786*M786,2),0)</f>
        <v>0</v>
      </c>
      <c r="Q786" s="35" t="n">
        <f aca="false">IF(O786="No",ROUND(L786*M786/2,2),0)</f>
        <v>0</v>
      </c>
      <c r="R786" s="35" t="n">
        <f aca="false">Q786</f>
        <v>0</v>
      </c>
      <c r="S786" s="35" t="n">
        <f aca="false">L786+P786+Q786+R786</f>
        <v>0</v>
      </c>
      <c r="T786" s="34" t="str">
        <f aca="false">IF(A786="","",IFERROR(INDEX(Customers!$B$5:$B$204,MATCH(C786,Customers!$A$5:$A$204,0))&amp;"",""))</f>
        <v/>
      </c>
      <c r="U786" s="38" t="str">
        <f aca="false">IF(A786="","",IF(T786&lt;&gt;"","B2B",IF(AND(O786="Yes",SUMIF($A$5:$A$1004,A786,$L$5:$L$1004)+SUMIF($A$5:$A$1004,A786,$P$5:$P$1004)&gt;100000),"B2CL","B2CS")))</f>
        <v/>
      </c>
      <c r="V786" s="17" t="str">
        <f aca="false">IF(A786="","",TEXT(B786,"mmm-yyyy"))</f>
        <v/>
      </c>
    </row>
    <row r="787" customFormat="false" ht="15" hidden="false" customHeight="true" outlineLevel="0" collapsed="false">
      <c r="A787" s="24"/>
      <c r="B787" s="39"/>
      <c r="C787" s="24"/>
      <c r="D787" s="24"/>
      <c r="E787" s="40"/>
      <c r="F787" s="29"/>
      <c r="G787" s="30"/>
      <c r="H787" s="17" t="str">
        <f aca="false">IF(A787="","",A787&amp;"|"&amp;COUNTIF(A$5:A787,A787))</f>
        <v/>
      </c>
      <c r="I787" s="33" t="str">
        <f aca="false">IF(A787="","",IFERROR(INDEX(Items!$B$5:$B$304,MATCH(D787,Items!$A$5:$A$304,0))&amp;"",""))</f>
        <v/>
      </c>
      <c r="J787" s="34" t="str">
        <f aca="false">IF(A787="","",IFERROR(INDEX(Items!$C$5:$C$304,MATCH(D787,Items!$A$5:$A$304,0))&amp;"",""))</f>
        <v/>
      </c>
      <c r="K787" s="35" t="n">
        <f aca="false">IF(A787="",0,IF(ISNUMBER(F787),F787,IFERROR(INDEX(Items!$D$5:$D$304,MATCH(D787,Items!$A$5:$A$304,0)),0)))</f>
        <v>0</v>
      </c>
      <c r="L787" s="35" t="n">
        <f aca="false">ROUND(N(E787)*K787*(1-N(G787)),2)</f>
        <v>0</v>
      </c>
      <c r="M787" s="36" t="n">
        <f aca="false">IF(A787="",0,IFERROR(INDEX(Items!$E$5:$E$304,MATCH(D787,Items!$A$5:$A$304,0)),0))</f>
        <v>0</v>
      </c>
      <c r="N787" s="37" t="str">
        <f aca="false">IF(A787="","",IFERROR(INDEX(Customers!$E$5:$E$204,MATCH(C787,Customers!$A$5:$A$204,0)),"?"))</f>
        <v/>
      </c>
      <c r="O787" s="38" t="str">
        <f aca="false">IF(A787="","",IF(N787=Settings!$B$17,"No","Yes"))</f>
        <v/>
      </c>
      <c r="P787" s="35" t="n">
        <f aca="false">IF(O787="Yes",ROUND(L787*M787,2),0)</f>
        <v>0</v>
      </c>
      <c r="Q787" s="35" t="n">
        <f aca="false">IF(O787="No",ROUND(L787*M787/2,2),0)</f>
        <v>0</v>
      </c>
      <c r="R787" s="35" t="n">
        <f aca="false">Q787</f>
        <v>0</v>
      </c>
      <c r="S787" s="35" t="n">
        <f aca="false">L787+P787+Q787+R787</f>
        <v>0</v>
      </c>
      <c r="T787" s="34" t="str">
        <f aca="false">IF(A787="","",IFERROR(INDEX(Customers!$B$5:$B$204,MATCH(C787,Customers!$A$5:$A$204,0))&amp;"",""))</f>
        <v/>
      </c>
      <c r="U787" s="38" t="str">
        <f aca="false">IF(A787="","",IF(T787&lt;&gt;"","B2B",IF(AND(O787="Yes",SUMIF($A$5:$A$1004,A787,$L$5:$L$1004)+SUMIF($A$5:$A$1004,A787,$P$5:$P$1004)&gt;100000),"B2CL","B2CS")))</f>
        <v/>
      </c>
      <c r="V787" s="17" t="str">
        <f aca="false">IF(A787="","",TEXT(B787,"mmm-yyyy"))</f>
        <v/>
      </c>
    </row>
    <row r="788" customFormat="false" ht="15" hidden="false" customHeight="true" outlineLevel="0" collapsed="false">
      <c r="A788" s="24"/>
      <c r="B788" s="39"/>
      <c r="C788" s="24"/>
      <c r="D788" s="24"/>
      <c r="E788" s="40"/>
      <c r="F788" s="29"/>
      <c r="G788" s="30"/>
      <c r="H788" s="17" t="str">
        <f aca="false">IF(A788="","",A788&amp;"|"&amp;COUNTIF(A$5:A788,A788))</f>
        <v/>
      </c>
      <c r="I788" s="33" t="str">
        <f aca="false">IF(A788="","",IFERROR(INDEX(Items!$B$5:$B$304,MATCH(D788,Items!$A$5:$A$304,0))&amp;"",""))</f>
        <v/>
      </c>
      <c r="J788" s="34" t="str">
        <f aca="false">IF(A788="","",IFERROR(INDEX(Items!$C$5:$C$304,MATCH(D788,Items!$A$5:$A$304,0))&amp;"",""))</f>
        <v/>
      </c>
      <c r="K788" s="35" t="n">
        <f aca="false">IF(A788="",0,IF(ISNUMBER(F788),F788,IFERROR(INDEX(Items!$D$5:$D$304,MATCH(D788,Items!$A$5:$A$304,0)),0)))</f>
        <v>0</v>
      </c>
      <c r="L788" s="35" t="n">
        <f aca="false">ROUND(N(E788)*K788*(1-N(G788)),2)</f>
        <v>0</v>
      </c>
      <c r="M788" s="36" t="n">
        <f aca="false">IF(A788="",0,IFERROR(INDEX(Items!$E$5:$E$304,MATCH(D788,Items!$A$5:$A$304,0)),0))</f>
        <v>0</v>
      </c>
      <c r="N788" s="37" t="str">
        <f aca="false">IF(A788="","",IFERROR(INDEX(Customers!$E$5:$E$204,MATCH(C788,Customers!$A$5:$A$204,0)),"?"))</f>
        <v/>
      </c>
      <c r="O788" s="38" t="str">
        <f aca="false">IF(A788="","",IF(N788=Settings!$B$17,"No","Yes"))</f>
        <v/>
      </c>
      <c r="P788" s="35" t="n">
        <f aca="false">IF(O788="Yes",ROUND(L788*M788,2),0)</f>
        <v>0</v>
      </c>
      <c r="Q788" s="35" t="n">
        <f aca="false">IF(O788="No",ROUND(L788*M788/2,2),0)</f>
        <v>0</v>
      </c>
      <c r="R788" s="35" t="n">
        <f aca="false">Q788</f>
        <v>0</v>
      </c>
      <c r="S788" s="35" t="n">
        <f aca="false">L788+P788+Q788+R788</f>
        <v>0</v>
      </c>
      <c r="T788" s="34" t="str">
        <f aca="false">IF(A788="","",IFERROR(INDEX(Customers!$B$5:$B$204,MATCH(C788,Customers!$A$5:$A$204,0))&amp;"",""))</f>
        <v/>
      </c>
      <c r="U788" s="38" t="str">
        <f aca="false">IF(A788="","",IF(T788&lt;&gt;"","B2B",IF(AND(O788="Yes",SUMIF($A$5:$A$1004,A788,$L$5:$L$1004)+SUMIF($A$5:$A$1004,A788,$P$5:$P$1004)&gt;100000),"B2CL","B2CS")))</f>
        <v/>
      </c>
      <c r="V788" s="17" t="str">
        <f aca="false">IF(A788="","",TEXT(B788,"mmm-yyyy"))</f>
        <v/>
      </c>
    </row>
    <row r="789" customFormat="false" ht="15" hidden="false" customHeight="true" outlineLevel="0" collapsed="false">
      <c r="A789" s="24"/>
      <c r="B789" s="39"/>
      <c r="C789" s="24"/>
      <c r="D789" s="24"/>
      <c r="E789" s="40"/>
      <c r="F789" s="29"/>
      <c r="G789" s="30"/>
      <c r="H789" s="17" t="str">
        <f aca="false">IF(A789="","",A789&amp;"|"&amp;COUNTIF(A$5:A789,A789))</f>
        <v/>
      </c>
      <c r="I789" s="33" t="str">
        <f aca="false">IF(A789="","",IFERROR(INDEX(Items!$B$5:$B$304,MATCH(D789,Items!$A$5:$A$304,0))&amp;"",""))</f>
        <v/>
      </c>
      <c r="J789" s="34" t="str">
        <f aca="false">IF(A789="","",IFERROR(INDEX(Items!$C$5:$C$304,MATCH(D789,Items!$A$5:$A$304,0))&amp;"",""))</f>
        <v/>
      </c>
      <c r="K789" s="35" t="n">
        <f aca="false">IF(A789="",0,IF(ISNUMBER(F789),F789,IFERROR(INDEX(Items!$D$5:$D$304,MATCH(D789,Items!$A$5:$A$304,0)),0)))</f>
        <v>0</v>
      </c>
      <c r="L789" s="35" t="n">
        <f aca="false">ROUND(N(E789)*K789*(1-N(G789)),2)</f>
        <v>0</v>
      </c>
      <c r="M789" s="36" t="n">
        <f aca="false">IF(A789="",0,IFERROR(INDEX(Items!$E$5:$E$304,MATCH(D789,Items!$A$5:$A$304,0)),0))</f>
        <v>0</v>
      </c>
      <c r="N789" s="37" t="str">
        <f aca="false">IF(A789="","",IFERROR(INDEX(Customers!$E$5:$E$204,MATCH(C789,Customers!$A$5:$A$204,0)),"?"))</f>
        <v/>
      </c>
      <c r="O789" s="38" t="str">
        <f aca="false">IF(A789="","",IF(N789=Settings!$B$17,"No","Yes"))</f>
        <v/>
      </c>
      <c r="P789" s="35" t="n">
        <f aca="false">IF(O789="Yes",ROUND(L789*M789,2),0)</f>
        <v>0</v>
      </c>
      <c r="Q789" s="35" t="n">
        <f aca="false">IF(O789="No",ROUND(L789*M789/2,2),0)</f>
        <v>0</v>
      </c>
      <c r="R789" s="35" t="n">
        <f aca="false">Q789</f>
        <v>0</v>
      </c>
      <c r="S789" s="35" t="n">
        <f aca="false">L789+P789+Q789+R789</f>
        <v>0</v>
      </c>
      <c r="T789" s="34" t="str">
        <f aca="false">IF(A789="","",IFERROR(INDEX(Customers!$B$5:$B$204,MATCH(C789,Customers!$A$5:$A$204,0))&amp;"",""))</f>
        <v/>
      </c>
      <c r="U789" s="38" t="str">
        <f aca="false">IF(A789="","",IF(T789&lt;&gt;"","B2B",IF(AND(O789="Yes",SUMIF($A$5:$A$1004,A789,$L$5:$L$1004)+SUMIF($A$5:$A$1004,A789,$P$5:$P$1004)&gt;100000),"B2CL","B2CS")))</f>
        <v/>
      </c>
      <c r="V789" s="17" t="str">
        <f aca="false">IF(A789="","",TEXT(B789,"mmm-yyyy"))</f>
        <v/>
      </c>
    </row>
    <row r="790" customFormat="false" ht="15" hidden="false" customHeight="true" outlineLevel="0" collapsed="false">
      <c r="A790" s="24"/>
      <c r="B790" s="39"/>
      <c r="C790" s="24"/>
      <c r="D790" s="24"/>
      <c r="E790" s="40"/>
      <c r="F790" s="29"/>
      <c r="G790" s="30"/>
      <c r="H790" s="17" t="str">
        <f aca="false">IF(A790="","",A790&amp;"|"&amp;COUNTIF(A$5:A790,A790))</f>
        <v/>
      </c>
      <c r="I790" s="33" t="str">
        <f aca="false">IF(A790="","",IFERROR(INDEX(Items!$B$5:$B$304,MATCH(D790,Items!$A$5:$A$304,0))&amp;"",""))</f>
        <v/>
      </c>
      <c r="J790" s="34" t="str">
        <f aca="false">IF(A790="","",IFERROR(INDEX(Items!$C$5:$C$304,MATCH(D790,Items!$A$5:$A$304,0))&amp;"",""))</f>
        <v/>
      </c>
      <c r="K790" s="35" t="n">
        <f aca="false">IF(A790="",0,IF(ISNUMBER(F790),F790,IFERROR(INDEX(Items!$D$5:$D$304,MATCH(D790,Items!$A$5:$A$304,0)),0)))</f>
        <v>0</v>
      </c>
      <c r="L790" s="35" t="n">
        <f aca="false">ROUND(N(E790)*K790*(1-N(G790)),2)</f>
        <v>0</v>
      </c>
      <c r="M790" s="36" t="n">
        <f aca="false">IF(A790="",0,IFERROR(INDEX(Items!$E$5:$E$304,MATCH(D790,Items!$A$5:$A$304,0)),0))</f>
        <v>0</v>
      </c>
      <c r="N790" s="37" t="str">
        <f aca="false">IF(A790="","",IFERROR(INDEX(Customers!$E$5:$E$204,MATCH(C790,Customers!$A$5:$A$204,0)),"?"))</f>
        <v/>
      </c>
      <c r="O790" s="38" t="str">
        <f aca="false">IF(A790="","",IF(N790=Settings!$B$17,"No","Yes"))</f>
        <v/>
      </c>
      <c r="P790" s="35" t="n">
        <f aca="false">IF(O790="Yes",ROUND(L790*M790,2),0)</f>
        <v>0</v>
      </c>
      <c r="Q790" s="35" t="n">
        <f aca="false">IF(O790="No",ROUND(L790*M790/2,2),0)</f>
        <v>0</v>
      </c>
      <c r="R790" s="35" t="n">
        <f aca="false">Q790</f>
        <v>0</v>
      </c>
      <c r="S790" s="35" t="n">
        <f aca="false">L790+P790+Q790+R790</f>
        <v>0</v>
      </c>
      <c r="T790" s="34" t="str">
        <f aca="false">IF(A790="","",IFERROR(INDEX(Customers!$B$5:$B$204,MATCH(C790,Customers!$A$5:$A$204,0))&amp;"",""))</f>
        <v/>
      </c>
      <c r="U790" s="38" t="str">
        <f aca="false">IF(A790="","",IF(T790&lt;&gt;"","B2B",IF(AND(O790="Yes",SUMIF($A$5:$A$1004,A790,$L$5:$L$1004)+SUMIF($A$5:$A$1004,A790,$P$5:$P$1004)&gt;100000),"B2CL","B2CS")))</f>
        <v/>
      </c>
      <c r="V790" s="17" t="str">
        <f aca="false">IF(A790="","",TEXT(B790,"mmm-yyyy"))</f>
        <v/>
      </c>
    </row>
    <row r="791" customFormat="false" ht="15" hidden="false" customHeight="true" outlineLevel="0" collapsed="false">
      <c r="A791" s="24"/>
      <c r="B791" s="39"/>
      <c r="C791" s="24"/>
      <c r="D791" s="24"/>
      <c r="E791" s="40"/>
      <c r="F791" s="29"/>
      <c r="G791" s="30"/>
      <c r="H791" s="17" t="str">
        <f aca="false">IF(A791="","",A791&amp;"|"&amp;COUNTIF(A$5:A791,A791))</f>
        <v/>
      </c>
      <c r="I791" s="33" t="str">
        <f aca="false">IF(A791="","",IFERROR(INDEX(Items!$B$5:$B$304,MATCH(D791,Items!$A$5:$A$304,0))&amp;"",""))</f>
        <v/>
      </c>
      <c r="J791" s="34" t="str">
        <f aca="false">IF(A791="","",IFERROR(INDEX(Items!$C$5:$C$304,MATCH(D791,Items!$A$5:$A$304,0))&amp;"",""))</f>
        <v/>
      </c>
      <c r="K791" s="35" t="n">
        <f aca="false">IF(A791="",0,IF(ISNUMBER(F791),F791,IFERROR(INDEX(Items!$D$5:$D$304,MATCH(D791,Items!$A$5:$A$304,0)),0)))</f>
        <v>0</v>
      </c>
      <c r="L791" s="35" t="n">
        <f aca="false">ROUND(N(E791)*K791*(1-N(G791)),2)</f>
        <v>0</v>
      </c>
      <c r="M791" s="36" t="n">
        <f aca="false">IF(A791="",0,IFERROR(INDEX(Items!$E$5:$E$304,MATCH(D791,Items!$A$5:$A$304,0)),0))</f>
        <v>0</v>
      </c>
      <c r="N791" s="37" t="str">
        <f aca="false">IF(A791="","",IFERROR(INDEX(Customers!$E$5:$E$204,MATCH(C791,Customers!$A$5:$A$204,0)),"?"))</f>
        <v/>
      </c>
      <c r="O791" s="38" t="str">
        <f aca="false">IF(A791="","",IF(N791=Settings!$B$17,"No","Yes"))</f>
        <v/>
      </c>
      <c r="P791" s="35" t="n">
        <f aca="false">IF(O791="Yes",ROUND(L791*M791,2),0)</f>
        <v>0</v>
      </c>
      <c r="Q791" s="35" t="n">
        <f aca="false">IF(O791="No",ROUND(L791*M791/2,2),0)</f>
        <v>0</v>
      </c>
      <c r="R791" s="35" t="n">
        <f aca="false">Q791</f>
        <v>0</v>
      </c>
      <c r="S791" s="35" t="n">
        <f aca="false">L791+P791+Q791+R791</f>
        <v>0</v>
      </c>
      <c r="T791" s="34" t="str">
        <f aca="false">IF(A791="","",IFERROR(INDEX(Customers!$B$5:$B$204,MATCH(C791,Customers!$A$5:$A$204,0))&amp;"",""))</f>
        <v/>
      </c>
      <c r="U791" s="38" t="str">
        <f aca="false">IF(A791="","",IF(T791&lt;&gt;"","B2B",IF(AND(O791="Yes",SUMIF($A$5:$A$1004,A791,$L$5:$L$1004)+SUMIF($A$5:$A$1004,A791,$P$5:$P$1004)&gt;100000),"B2CL","B2CS")))</f>
        <v/>
      </c>
      <c r="V791" s="17" t="str">
        <f aca="false">IF(A791="","",TEXT(B791,"mmm-yyyy"))</f>
        <v/>
      </c>
    </row>
    <row r="792" customFormat="false" ht="15" hidden="false" customHeight="true" outlineLevel="0" collapsed="false">
      <c r="A792" s="24"/>
      <c r="B792" s="39"/>
      <c r="C792" s="24"/>
      <c r="D792" s="24"/>
      <c r="E792" s="40"/>
      <c r="F792" s="29"/>
      <c r="G792" s="30"/>
      <c r="H792" s="17" t="str">
        <f aca="false">IF(A792="","",A792&amp;"|"&amp;COUNTIF(A$5:A792,A792))</f>
        <v/>
      </c>
      <c r="I792" s="33" t="str">
        <f aca="false">IF(A792="","",IFERROR(INDEX(Items!$B$5:$B$304,MATCH(D792,Items!$A$5:$A$304,0))&amp;"",""))</f>
        <v/>
      </c>
      <c r="J792" s="34" t="str">
        <f aca="false">IF(A792="","",IFERROR(INDEX(Items!$C$5:$C$304,MATCH(D792,Items!$A$5:$A$304,0))&amp;"",""))</f>
        <v/>
      </c>
      <c r="K792" s="35" t="n">
        <f aca="false">IF(A792="",0,IF(ISNUMBER(F792),F792,IFERROR(INDEX(Items!$D$5:$D$304,MATCH(D792,Items!$A$5:$A$304,0)),0)))</f>
        <v>0</v>
      </c>
      <c r="L792" s="35" t="n">
        <f aca="false">ROUND(N(E792)*K792*(1-N(G792)),2)</f>
        <v>0</v>
      </c>
      <c r="M792" s="36" t="n">
        <f aca="false">IF(A792="",0,IFERROR(INDEX(Items!$E$5:$E$304,MATCH(D792,Items!$A$5:$A$304,0)),0))</f>
        <v>0</v>
      </c>
      <c r="N792" s="37" t="str">
        <f aca="false">IF(A792="","",IFERROR(INDEX(Customers!$E$5:$E$204,MATCH(C792,Customers!$A$5:$A$204,0)),"?"))</f>
        <v/>
      </c>
      <c r="O792" s="38" t="str">
        <f aca="false">IF(A792="","",IF(N792=Settings!$B$17,"No","Yes"))</f>
        <v/>
      </c>
      <c r="P792" s="35" t="n">
        <f aca="false">IF(O792="Yes",ROUND(L792*M792,2),0)</f>
        <v>0</v>
      </c>
      <c r="Q792" s="35" t="n">
        <f aca="false">IF(O792="No",ROUND(L792*M792/2,2),0)</f>
        <v>0</v>
      </c>
      <c r="R792" s="35" t="n">
        <f aca="false">Q792</f>
        <v>0</v>
      </c>
      <c r="S792" s="35" t="n">
        <f aca="false">L792+P792+Q792+R792</f>
        <v>0</v>
      </c>
      <c r="T792" s="34" t="str">
        <f aca="false">IF(A792="","",IFERROR(INDEX(Customers!$B$5:$B$204,MATCH(C792,Customers!$A$5:$A$204,0))&amp;"",""))</f>
        <v/>
      </c>
      <c r="U792" s="38" t="str">
        <f aca="false">IF(A792="","",IF(T792&lt;&gt;"","B2B",IF(AND(O792="Yes",SUMIF($A$5:$A$1004,A792,$L$5:$L$1004)+SUMIF($A$5:$A$1004,A792,$P$5:$P$1004)&gt;100000),"B2CL","B2CS")))</f>
        <v/>
      </c>
      <c r="V792" s="17" t="str">
        <f aca="false">IF(A792="","",TEXT(B792,"mmm-yyyy"))</f>
        <v/>
      </c>
    </row>
    <row r="793" customFormat="false" ht="15" hidden="false" customHeight="true" outlineLevel="0" collapsed="false">
      <c r="A793" s="24"/>
      <c r="B793" s="39"/>
      <c r="C793" s="24"/>
      <c r="D793" s="24"/>
      <c r="E793" s="40"/>
      <c r="F793" s="29"/>
      <c r="G793" s="30"/>
      <c r="H793" s="17" t="str">
        <f aca="false">IF(A793="","",A793&amp;"|"&amp;COUNTIF(A$5:A793,A793))</f>
        <v/>
      </c>
      <c r="I793" s="33" t="str">
        <f aca="false">IF(A793="","",IFERROR(INDEX(Items!$B$5:$B$304,MATCH(D793,Items!$A$5:$A$304,0))&amp;"",""))</f>
        <v/>
      </c>
      <c r="J793" s="34" t="str">
        <f aca="false">IF(A793="","",IFERROR(INDEX(Items!$C$5:$C$304,MATCH(D793,Items!$A$5:$A$304,0))&amp;"",""))</f>
        <v/>
      </c>
      <c r="K793" s="35" t="n">
        <f aca="false">IF(A793="",0,IF(ISNUMBER(F793),F793,IFERROR(INDEX(Items!$D$5:$D$304,MATCH(D793,Items!$A$5:$A$304,0)),0)))</f>
        <v>0</v>
      </c>
      <c r="L793" s="35" t="n">
        <f aca="false">ROUND(N(E793)*K793*(1-N(G793)),2)</f>
        <v>0</v>
      </c>
      <c r="M793" s="36" t="n">
        <f aca="false">IF(A793="",0,IFERROR(INDEX(Items!$E$5:$E$304,MATCH(D793,Items!$A$5:$A$304,0)),0))</f>
        <v>0</v>
      </c>
      <c r="N793" s="37" t="str">
        <f aca="false">IF(A793="","",IFERROR(INDEX(Customers!$E$5:$E$204,MATCH(C793,Customers!$A$5:$A$204,0)),"?"))</f>
        <v/>
      </c>
      <c r="O793" s="38" t="str">
        <f aca="false">IF(A793="","",IF(N793=Settings!$B$17,"No","Yes"))</f>
        <v/>
      </c>
      <c r="P793" s="35" t="n">
        <f aca="false">IF(O793="Yes",ROUND(L793*M793,2),0)</f>
        <v>0</v>
      </c>
      <c r="Q793" s="35" t="n">
        <f aca="false">IF(O793="No",ROUND(L793*M793/2,2),0)</f>
        <v>0</v>
      </c>
      <c r="R793" s="35" t="n">
        <f aca="false">Q793</f>
        <v>0</v>
      </c>
      <c r="S793" s="35" t="n">
        <f aca="false">L793+P793+Q793+R793</f>
        <v>0</v>
      </c>
      <c r="T793" s="34" t="str">
        <f aca="false">IF(A793="","",IFERROR(INDEX(Customers!$B$5:$B$204,MATCH(C793,Customers!$A$5:$A$204,0))&amp;"",""))</f>
        <v/>
      </c>
      <c r="U793" s="38" t="str">
        <f aca="false">IF(A793="","",IF(T793&lt;&gt;"","B2B",IF(AND(O793="Yes",SUMIF($A$5:$A$1004,A793,$L$5:$L$1004)+SUMIF($A$5:$A$1004,A793,$P$5:$P$1004)&gt;100000),"B2CL","B2CS")))</f>
        <v/>
      </c>
      <c r="V793" s="17" t="str">
        <f aca="false">IF(A793="","",TEXT(B793,"mmm-yyyy"))</f>
        <v/>
      </c>
    </row>
    <row r="794" customFormat="false" ht="15" hidden="false" customHeight="true" outlineLevel="0" collapsed="false">
      <c r="A794" s="24"/>
      <c r="B794" s="39"/>
      <c r="C794" s="24"/>
      <c r="D794" s="24"/>
      <c r="E794" s="40"/>
      <c r="F794" s="29"/>
      <c r="G794" s="30"/>
      <c r="H794" s="17" t="str">
        <f aca="false">IF(A794="","",A794&amp;"|"&amp;COUNTIF(A$5:A794,A794))</f>
        <v/>
      </c>
      <c r="I794" s="33" t="str">
        <f aca="false">IF(A794="","",IFERROR(INDEX(Items!$B$5:$B$304,MATCH(D794,Items!$A$5:$A$304,0))&amp;"",""))</f>
        <v/>
      </c>
      <c r="J794" s="34" t="str">
        <f aca="false">IF(A794="","",IFERROR(INDEX(Items!$C$5:$C$304,MATCH(D794,Items!$A$5:$A$304,0))&amp;"",""))</f>
        <v/>
      </c>
      <c r="K794" s="35" t="n">
        <f aca="false">IF(A794="",0,IF(ISNUMBER(F794),F794,IFERROR(INDEX(Items!$D$5:$D$304,MATCH(D794,Items!$A$5:$A$304,0)),0)))</f>
        <v>0</v>
      </c>
      <c r="L794" s="35" t="n">
        <f aca="false">ROUND(N(E794)*K794*(1-N(G794)),2)</f>
        <v>0</v>
      </c>
      <c r="M794" s="36" t="n">
        <f aca="false">IF(A794="",0,IFERROR(INDEX(Items!$E$5:$E$304,MATCH(D794,Items!$A$5:$A$304,0)),0))</f>
        <v>0</v>
      </c>
      <c r="N794" s="37" t="str">
        <f aca="false">IF(A794="","",IFERROR(INDEX(Customers!$E$5:$E$204,MATCH(C794,Customers!$A$5:$A$204,0)),"?"))</f>
        <v/>
      </c>
      <c r="O794" s="38" t="str">
        <f aca="false">IF(A794="","",IF(N794=Settings!$B$17,"No","Yes"))</f>
        <v/>
      </c>
      <c r="P794" s="35" t="n">
        <f aca="false">IF(O794="Yes",ROUND(L794*M794,2),0)</f>
        <v>0</v>
      </c>
      <c r="Q794" s="35" t="n">
        <f aca="false">IF(O794="No",ROUND(L794*M794/2,2),0)</f>
        <v>0</v>
      </c>
      <c r="R794" s="35" t="n">
        <f aca="false">Q794</f>
        <v>0</v>
      </c>
      <c r="S794" s="35" t="n">
        <f aca="false">L794+P794+Q794+R794</f>
        <v>0</v>
      </c>
      <c r="T794" s="34" t="str">
        <f aca="false">IF(A794="","",IFERROR(INDEX(Customers!$B$5:$B$204,MATCH(C794,Customers!$A$5:$A$204,0))&amp;"",""))</f>
        <v/>
      </c>
      <c r="U794" s="38" t="str">
        <f aca="false">IF(A794="","",IF(T794&lt;&gt;"","B2B",IF(AND(O794="Yes",SUMIF($A$5:$A$1004,A794,$L$5:$L$1004)+SUMIF($A$5:$A$1004,A794,$P$5:$P$1004)&gt;100000),"B2CL","B2CS")))</f>
        <v/>
      </c>
      <c r="V794" s="17" t="str">
        <f aca="false">IF(A794="","",TEXT(B794,"mmm-yyyy"))</f>
        <v/>
      </c>
    </row>
    <row r="795" customFormat="false" ht="15" hidden="false" customHeight="true" outlineLevel="0" collapsed="false">
      <c r="A795" s="24"/>
      <c r="B795" s="39"/>
      <c r="C795" s="24"/>
      <c r="D795" s="24"/>
      <c r="E795" s="40"/>
      <c r="F795" s="29"/>
      <c r="G795" s="30"/>
      <c r="H795" s="17" t="str">
        <f aca="false">IF(A795="","",A795&amp;"|"&amp;COUNTIF(A$5:A795,A795))</f>
        <v/>
      </c>
      <c r="I795" s="33" t="str">
        <f aca="false">IF(A795="","",IFERROR(INDEX(Items!$B$5:$B$304,MATCH(D795,Items!$A$5:$A$304,0))&amp;"",""))</f>
        <v/>
      </c>
      <c r="J795" s="34" t="str">
        <f aca="false">IF(A795="","",IFERROR(INDEX(Items!$C$5:$C$304,MATCH(D795,Items!$A$5:$A$304,0))&amp;"",""))</f>
        <v/>
      </c>
      <c r="K795" s="35" t="n">
        <f aca="false">IF(A795="",0,IF(ISNUMBER(F795),F795,IFERROR(INDEX(Items!$D$5:$D$304,MATCH(D795,Items!$A$5:$A$304,0)),0)))</f>
        <v>0</v>
      </c>
      <c r="L795" s="35" t="n">
        <f aca="false">ROUND(N(E795)*K795*(1-N(G795)),2)</f>
        <v>0</v>
      </c>
      <c r="M795" s="36" t="n">
        <f aca="false">IF(A795="",0,IFERROR(INDEX(Items!$E$5:$E$304,MATCH(D795,Items!$A$5:$A$304,0)),0))</f>
        <v>0</v>
      </c>
      <c r="N795" s="37" t="str">
        <f aca="false">IF(A795="","",IFERROR(INDEX(Customers!$E$5:$E$204,MATCH(C795,Customers!$A$5:$A$204,0)),"?"))</f>
        <v/>
      </c>
      <c r="O795" s="38" t="str">
        <f aca="false">IF(A795="","",IF(N795=Settings!$B$17,"No","Yes"))</f>
        <v/>
      </c>
      <c r="P795" s="35" t="n">
        <f aca="false">IF(O795="Yes",ROUND(L795*M795,2),0)</f>
        <v>0</v>
      </c>
      <c r="Q795" s="35" t="n">
        <f aca="false">IF(O795="No",ROUND(L795*M795/2,2),0)</f>
        <v>0</v>
      </c>
      <c r="R795" s="35" t="n">
        <f aca="false">Q795</f>
        <v>0</v>
      </c>
      <c r="S795" s="35" t="n">
        <f aca="false">L795+P795+Q795+R795</f>
        <v>0</v>
      </c>
      <c r="T795" s="34" t="str">
        <f aca="false">IF(A795="","",IFERROR(INDEX(Customers!$B$5:$B$204,MATCH(C795,Customers!$A$5:$A$204,0))&amp;"",""))</f>
        <v/>
      </c>
      <c r="U795" s="38" t="str">
        <f aca="false">IF(A795="","",IF(T795&lt;&gt;"","B2B",IF(AND(O795="Yes",SUMIF($A$5:$A$1004,A795,$L$5:$L$1004)+SUMIF($A$5:$A$1004,A795,$P$5:$P$1004)&gt;100000),"B2CL","B2CS")))</f>
        <v/>
      </c>
      <c r="V795" s="17" t="str">
        <f aca="false">IF(A795="","",TEXT(B795,"mmm-yyyy"))</f>
        <v/>
      </c>
    </row>
    <row r="796" customFormat="false" ht="15" hidden="false" customHeight="true" outlineLevel="0" collapsed="false">
      <c r="A796" s="24"/>
      <c r="B796" s="39"/>
      <c r="C796" s="24"/>
      <c r="D796" s="24"/>
      <c r="E796" s="40"/>
      <c r="F796" s="29"/>
      <c r="G796" s="30"/>
      <c r="H796" s="17" t="str">
        <f aca="false">IF(A796="","",A796&amp;"|"&amp;COUNTIF(A$5:A796,A796))</f>
        <v/>
      </c>
      <c r="I796" s="33" t="str">
        <f aca="false">IF(A796="","",IFERROR(INDEX(Items!$B$5:$B$304,MATCH(D796,Items!$A$5:$A$304,0))&amp;"",""))</f>
        <v/>
      </c>
      <c r="J796" s="34" t="str">
        <f aca="false">IF(A796="","",IFERROR(INDEX(Items!$C$5:$C$304,MATCH(D796,Items!$A$5:$A$304,0))&amp;"",""))</f>
        <v/>
      </c>
      <c r="K796" s="35" t="n">
        <f aca="false">IF(A796="",0,IF(ISNUMBER(F796),F796,IFERROR(INDEX(Items!$D$5:$D$304,MATCH(D796,Items!$A$5:$A$304,0)),0)))</f>
        <v>0</v>
      </c>
      <c r="L796" s="35" t="n">
        <f aca="false">ROUND(N(E796)*K796*(1-N(G796)),2)</f>
        <v>0</v>
      </c>
      <c r="M796" s="36" t="n">
        <f aca="false">IF(A796="",0,IFERROR(INDEX(Items!$E$5:$E$304,MATCH(D796,Items!$A$5:$A$304,0)),0))</f>
        <v>0</v>
      </c>
      <c r="N796" s="37" t="str">
        <f aca="false">IF(A796="","",IFERROR(INDEX(Customers!$E$5:$E$204,MATCH(C796,Customers!$A$5:$A$204,0)),"?"))</f>
        <v/>
      </c>
      <c r="O796" s="38" t="str">
        <f aca="false">IF(A796="","",IF(N796=Settings!$B$17,"No","Yes"))</f>
        <v/>
      </c>
      <c r="P796" s="35" t="n">
        <f aca="false">IF(O796="Yes",ROUND(L796*M796,2),0)</f>
        <v>0</v>
      </c>
      <c r="Q796" s="35" t="n">
        <f aca="false">IF(O796="No",ROUND(L796*M796/2,2),0)</f>
        <v>0</v>
      </c>
      <c r="R796" s="35" t="n">
        <f aca="false">Q796</f>
        <v>0</v>
      </c>
      <c r="S796" s="35" t="n">
        <f aca="false">L796+P796+Q796+R796</f>
        <v>0</v>
      </c>
      <c r="T796" s="34" t="str">
        <f aca="false">IF(A796="","",IFERROR(INDEX(Customers!$B$5:$B$204,MATCH(C796,Customers!$A$5:$A$204,0))&amp;"",""))</f>
        <v/>
      </c>
      <c r="U796" s="38" t="str">
        <f aca="false">IF(A796="","",IF(T796&lt;&gt;"","B2B",IF(AND(O796="Yes",SUMIF($A$5:$A$1004,A796,$L$5:$L$1004)+SUMIF($A$5:$A$1004,A796,$P$5:$P$1004)&gt;100000),"B2CL","B2CS")))</f>
        <v/>
      </c>
      <c r="V796" s="17" t="str">
        <f aca="false">IF(A796="","",TEXT(B796,"mmm-yyyy"))</f>
        <v/>
      </c>
    </row>
    <row r="797" customFormat="false" ht="15" hidden="false" customHeight="true" outlineLevel="0" collapsed="false">
      <c r="A797" s="24"/>
      <c r="B797" s="39"/>
      <c r="C797" s="24"/>
      <c r="D797" s="24"/>
      <c r="E797" s="40"/>
      <c r="F797" s="29"/>
      <c r="G797" s="30"/>
      <c r="H797" s="17" t="str">
        <f aca="false">IF(A797="","",A797&amp;"|"&amp;COUNTIF(A$5:A797,A797))</f>
        <v/>
      </c>
      <c r="I797" s="33" t="str">
        <f aca="false">IF(A797="","",IFERROR(INDEX(Items!$B$5:$B$304,MATCH(D797,Items!$A$5:$A$304,0))&amp;"",""))</f>
        <v/>
      </c>
      <c r="J797" s="34" t="str">
        <f aca="false">IF(A797="","",IFERROR(INDEX(Items!$C$5:$C$304,MATCH(D797,Items!$A$5:$A$304,0))&amp;"",""))</f>
        <v/>
      </c>
      <c r="K797" s="35" t="n">
        <f aca="false">IF(A797="",0,IF(ISNUMBER(F797),F797,IFERROR(INDEX(Items!$D$5:$D$304,MATCH(D797,Items!$A$5:$A$304,0)),0)))</f>
        <v>0</v>
      </c>
      <c r="L797" s="35" t="n">
        <f aca="false">ROUND(N(E797)*K797*(1-N(G797)),2)</f>
        <v>0</v>
      </c>
      <c r="M797" s="36" t="n">
        <f aca="false">IF(A797="",0,IFERROR(INDEX(Items!$E$5:$E$304,MATCH(D797,Items!$A$5:$A$304,0)),0))</f>
        <v>0</v>
      </c>
      <c r="N797" s="37" t="str">
        <f aca="false">IF(A797="","",IFERROR(INDEX(Customers!$E$5:$E$204,MATCH(C797,Customers!$A$5:$A$204,0)),"?"))</f>
        <v/>
      </c>
      <c r="O797" s="38" t="str">
        <f aca="false">IF(A797="","",IF(N797=Settings!$B$17,"No","Yes"))</f>
        <v/>
      </c>
      <c r="P797" s="35" t="n">
        <f aca="false">IF(O797="Yes",ROUND(L797*M797,2),0)</f>
        <v>0</v>
      </c>
      <c r="Q797" s="35" t="n">
        <f aca="false">IF(O797="No",ROUND(L797*M797/2,2),0)</f>
        <v>0</v>
      </c>
      <c r="R797" s="35" t="n">
        <f aca="false">Q797</f>
        <v>0</v>
      </c>
      <c r="S797" s="35" t="n">
        <f aca="false">L797+P797+Q797+R797</f>
        <v>0</v>
      </c>
      <c r="T797" s="34" t="str">
        <f aca="false">IF(A797="","",IFERROR(INDEX(Customers!$B$5:$B$204,MATCH(C797,Customers!$A$5:$A$204,0))&amp;"",""))</f>
        <v/>
      </c>
      <c r="U797" s="38" t="str">
        <f aca="false">IF(A797="","",IF(T797&lt;&gt;"","B2B",IF(AND(O797="Yes",SUMIF($A$5:$A$1004,A797,$L$5:$L$1004)+SUMIF($A$5:$A$1004,A797,$P$5:$P$1004)&gt;100000),"B2CL","B2CS")))</f>
        <v/>
      </c>
      <c r="V797" s="17" t="str">
        <f aca="false">IF(A797="","",TEXT(B797,"mmm-yyyy"))</f>
        <v/>
      </c>
    </row>
    <row r="798" customFormat="false" ht="15" hidden="false" customHeight="true" outlineLevel="0" collapsed="false">
      <c r="A798" s="24"/>
      <c r="B798" s="39"/>
      <c r="C798" s="24"/>
      <c r="D798" s="24"/>
      <c r="E798" s="40"/>
      <c r="F798" s="29"/>
      <c r="G798" s="30"/>
      <c r="H798" s="17" t="str">
        <f aca="false">IF(A798="","",A798&amp;"|"&amp;COUNTIF(A$5:A798,A798))</f>
        <v/>
      </c>
      <c r="I798" s="33" t="str">
        <f aca="false">IF(A798="","",IFERROR(INDEX(Items!$B$5:$B$304,MATCH(D798,Items!$A$5:$A$304,0))&amp;"",""))</f>
        <v/>
      </c>
      <c r="J798" s="34" t="str">
        <f aca="false">IF(A798="","",IFERROR(INDEX(Items!$C$5:$C$304,MATCH(D798,Items!$A$5:$A$304,0))&amp;"",""))</f>
        <v/>
      </c>
      <c r="K798" s="35" t="n">
        <f aca="false">IF(A798="",0,IF(ISNUMBER(F798),F798,IFERROR(INDEX(Items!$D$5:$D$304,MATCH(D798,Items!$A$5:$A$304,0)),0)))</f>
        <v>0</v>
      </c>
      <c r="L798" s="35" t="n">
        <f aca="false">ROUND(N(E798)*K798*(1-N(G798)),2)</f>
        <v>0</v>
      </c>
      <c r="M798" s="36" t="n">
        <f aca="false">IF(A798="",0,IFERROR(INDEX(Items!$E$5:$E$304,MATCH(D798,Items!$A$5:$A$304,0)),0))</f>
        <v>0</v>
      </c>
      <c r="N798" s="37" t="str">
        <f aca="false">IF(A798="","",IFERROR(INDEX(Customers!$E$5:$E$204,MATCH(C798,Customers!$A$5:$A$204,0)),"?"))</f>
        <v/>
      </c>
      <c r="O798" s="38" t="str">
        <f aca="false">IF(A798="","",IF(N798=Settings!$B$17,"No","Yes"))</f>
        <v/>
      </c>
      <c r="P798" s="35" t="n">
        <f aca="false">IF(O798="Yes",ROUND(L798*M798,2),0)</f>
        <v>0</v>
      </c>
      <c r="Q798" s="35" t="n">
        <f aca="false">IF(O798="No",ROUND(L798*M798/2,2),0)</f>
        <v>0</v>
      </c>
      <c r="R798" s="35" t="n">
        <f aca="false">Q798</f>
        <v>0</v>
      </c>
      <c r="S798" s="35" t="n">
        <f aca="false">L798+P798+Q798+R798</f>
        <v>0</v>
      </c>
      <c r="T798" s="34" t="str">
        <f aca="false">IF(A798="","",IFERROR(INDEX(Customers!$B$5:$B$204,MATCH(C798,Customers!$A$5:$A$204,0))&amp;"",""))</f>
        <v/>
      </c>
      <c r="U798" s="38" t="str">
        <f aca="false">IF(A798="","",IF(T798&lt;&gt;"","B2B",IF(AND(O798="Yes",SUMIF($A$5:$A$1004,A798,$L$5:$L$1004)+SUMIF($A$5:$A$1004,A798,$P$5:$P$1004)&gt;100000),"B2CL","B2CS")))</f>
        <v/>
      </c>
      <c r="V798" s="17" t="str">
        <f aca="false">IF(A798="","",TEXT(B798,"mmm-yyyy"))</f>
        <v/>
      </c>
    </row>
    <row r="799" customFormat="false" ht="15" hidden="false" customHeight="true" outlineLevel="0" collapsed="false">
      <c r="A799" s="24"/>
      <c r="B799" s="39"/>
      <c r="C799" s="24"/>
      <c r="D799" s="24"/>
      <c r="E799" s="40"/>
      <c r="F799" s="29"/>
      <c r="G799" s="30"/>
      <c r="H799" s="17" t="str">
        <f aca="false">IF(A799="","",A799&amp;"|"&amp;COUNTIF(A$5:A799,A799))</f>
        <v/>
      </c>
      <c r="I799" s="33" t="str">
        <f aca="false">IF(A799="","",IFERROR(INDEX(Items!$B$5:$B$304,MATCH(D799,Items!$A$5:$A$304,0))&amp;"",""))</f>
        <v/>
      </c>
      <c r="J799" s="34" t="str">
        <f aca="false">IF(A799="","",IFERROR(INDEX(Items!$C$5:$C$304,MATCH(D799,Items!$A$5:$A$304,0))&amp;"",""))</f>
        <v/>
      </c>
      <c r="K799" s="35" t="n">
        <f aca="false">IF(A799="",0,IF(ISNUMBER(F799),F799,IFERROR(INDEX(Items!$D$5:$D$304,MATCH(D799,Items!$A$5:$A$304,0)),0)))</f>
        <v>0</v>
      </c>
      <c r="L799" s="35" t="n">
        <f aca="false">ROUND(N(E799)*K799*(1-N(G799)),2)</f>
        <v>0</v>
      </c>
      <c r="M799" s="36" t="n">
        <f aca="false">IF(A799="",0,IFERROR(INDEX(Items!$E$5:$E$304,MATCH(D799,Items!$A$5:$A$304,0)),0))</f>
        <v>0</v>
      </c>
      <c r="N799" s="37" t="str">
        <f aca="false">IF(A799="","",IFERROR(INDEX(Customers!$E$5:$E$204,MATCH(C799,Customers!$A$5:$A$204,0)),"?"))</f>
        <v/>
      </c>
      <c r="O799" s="38" t="str">
        <f aca="false">IF(A799="","",IF(N799=Settings!$B$17,"No","Yes"))</f>
        <v/>
      </c>
      <c r="P799" s="35" t="n">
        <f aca="false">IF(O799="Yes",ROUND(L799*M799,2),0)</f>
        <v>0</v>
      </c>
      <c r="Q799" s="35" t="n">
        <f aca="false">IF(O799="No",ROUND(L799*M799/2,2),0)</f>
        <v>0</v>
      </c>
      <c r="R799" s="35" t="n">
        <f aca="false">Q799</f>
        <v>0</v>
      </c>
      <c r="S799" s="35" t="n">
        <f aca="false">L799+P799+Q799+R799</f>
        <v>0</v>
      </c>
      <c r="T799" s="34" t="str">
        <f aca="false">IF(A799="","",IFERROR(INDEX(Customers!$B$5:$B$204,MATCH(C799,Customers!$A$5:$A$204,0))&amp;"",""))</f>
        <v/>
      </c>
      <c r="U799" s="38" t="str">
        <f aca="false">IF(A799="","",IF(T799&lt;&gt;"","B2B",IF(AND(O799="Yes",SUMIF($A$5:$A$1004,A799,$L$5:$L$1004)+SUMIF($A$5:$A$1004,A799,$P$5:$P$1004)&gt;100000),"B2CL","B2CS")))</f>
        <v/>
      </c>
      <c r="V799" s="17" t="str">
        <f aca="false">IF(A799="","",TEXT(B799,"mmm-yyyy"))</f>
        <v/>
      </c>
    </row>
    <row r="800" customFormat="false" ht="15" hidden="false" customHeight="true" outlineLevel="0" collapsed="false">
      <c r="A800" s="24"/>
      <c r="B800" s="39"/>
      <c r="C800" s="24"/>
      <c r="D800" s="24"/>
      <c r="E800" s="40"/>
      <c r="F800" s="29"/>
      <c r="G800" s="30"/>
      <c r="H800" s="17" t="str">
        <f aca="false">IF(A800="","",A800&amp;"|"&amp;COUNTIF(A$5:A800,A800))</f>
        <v/>
      </c>
      <c r="I800" s="33" t="str">
        <f aca="false">IF(A800="","",IFERROR(INDEX(Items!$B$5:$B$304,MATCH(D800,Items!$A$5:$A$304,0))&amp;"",""))</f>
        <v/>
      </c>
      <c r="J800" s="34" t="str">
        <f aca="false">IF(A800="","",IFERROR(INDEX(Items!$C$5:$C$304,MATCH(D800,Items!$A$5:$A$304,0))&amp;"",""))</f>
        <v/>
      </c>
      <c r="K800" s="35" t="n">
        <f aca="false">IF(A800="",0,IF(ISNUMBER(F800),F800,IFERROR(INDEX(Items!$D$5:$D$304,MATCH(D800,Items!$A$5:$A$304,0)),0)))</f>
        <v>0</v>
      </c>
      <c r="L800" s="35" t="n">
        <f aca="false">ROUND(N(E800)*K800*(1-N(G800)),2)</f>
        <v>0</v>
      </c>
      <c r="M800" s="36" t="n">
        <f aca="false">IF(A800="",0,IFERROR(INDEX(Items!$E$5:$E$304,MATCH(D800,Items!$A$5:$A$304,0)),0))</f>
        <v>0</v>
      </c>
      <c r="N800" s="37" t="str">
        <f aca="false">IF(A800="","",IFERROR(INDEX(Customers!$E$5:$E$204,MATCH(C800,Customers!$A$5:$A$204,0)),"?"))</f>
        <v/>
      </c>
      <c r="O800" s="38" t="str">
        <f aca="false">IF(A800="","",IF(N800=Settings!$B$17,"No","Yes"))</f>
        <v/>
      </c>
      <c r="P800" s="35" t="n">
        <f aca="false">IF(O800="Yes",ROUND(L800*M800,2),0)</f>
        <v>0</v>
      </c>
      <c r="Q800" s="35" t="n">
        <f aca="false">IF(O800="No",ROUND(L800*M800/2,2),0)</f>
        <v>0</v>
      </c>
      <c r="R800" s="35" t="n">
        <f aca="false">Q800</f>
        <v>0</v>
      </c>
      <c r="S800" s="35" t="n">
        <f aca="false">L800+P800+Q800+R800</f>
        <v>0</v>
      </c>
      <c r="T800" s="34" t="str">
        <f aca="false">IF(A800="","",IFERROR(INDEX(Customers!$B$5:$B$204,MATCH(C800,Customers!$A$5:$A$204,0))&amp;"",""))</f>
        <v/>
      </c>
      <c r="U800" s="38" t="str">
        <f aca="false">IF(A800="","",IF(T800&lt;&gt;"","B2B",IF(AND(O800="Yes",SUMIF($A$5:$A$1004,A800,$L$5:$L$1004)+SUMIF($A$5:$A$1004,A800,$P$5:$P$1004)&gt;100000),"B2CL","B2CS")))</f>
        <v/>
      </c>
      <c r="V800" s="17" t="str">
        <f aca="false">IF(A800="","",TEXT(B800,"mmm-yyyy"))</f>
        <v/>
      </c>
    </row>
    <row r="801" customFormat="false" ht="15" hidden="false" customHeight="true" outlineLevel="0" collapsed="false">
      <c r="A801" s="24"/>
      <c r="B801" s="39"/>
      <c r="C801" s="24"/>
      <c r="D801" s="24"/>
      <c r="E801" s="40"/>
      <c r="F801" s="29"/>
      <c r="G801" s="30"/>
      <c r="H801" s="17" t="str">
        <f aca="false">IF(A801="","",A801&amp;"|"&amp;COUNTIF(A$5:A801,A801))</f>
        <v/>
      </c>
      <c r="I801" s="33" t="str">
        <f aca="false">IF(A801="","",IFERROR(INDEX(Items!$B$5:$B$304,MATCH(D801,Items!$A$5:$A$304,0))&amp;"",""))</f>
        <v/>
      </c>
      <c r="J801" s="34" t="str">
        <f aca="false">IF(A801="","",IFERROR(INDEX(Items!$C$5:$C$304,MATCH(D801,Items!$A$5:$A$304,0))&amp;"",""))</f>
        <v/>
      </c>
      <c r="K801" s="35" t="n">
        <f aca="false">IF(A801="",0,IF(ISNUMBER(F801),F801,IFERROR(INDEX(Items!$D$5:$D$304,MATCH(D801,Items!$A$5:$A$304,0)),0)))</f>
        <v>0</v>
      </c>
      <c r="L801" s="35" t="n">
        <f aca="false">ROUND(N(E801)*K801*(1-N(G801)),2)</f>
        <v>0</v>
      </c>
      <c r="M801" s="36" t="n">
        <f aca="false">IF(A801="",0,IFERROR(INDEX(Items!$E$5:$E$304,MATCH(D801,Items!$A$5:$A$304,0)),0))</f>
        <v>0</v>
      </c>
      <c r="N801" s="37" t="str">
        <f aca="false">IF(A801="","",IFERROR(INDEX(Customers!$E$5:$E$204,MATCH(C801,Customers!$A$5:$A$204,0)),"?"))</f>
        <v/>
      </c>
      <c r="O801" s="38" t="str">
        <f aca="false">IF(A801="","",IF(N801=Settings!$B$17,"No","Yes"))</f>
        <v/>
      </c>
      <c r="P801" s="35" t="n">
        <f aca="false">IF(O801="Yes",ROUND(L801*M801,2),0)</f>
        <v>0</v>
      </c>
      <c r="Q801" s="35" t="n">
        <f aca="false">IF(O801="No",ROUND(L801*M801/2,2),0)</f>
        <v>0</v>
      </c>
      <c r="R801" s="35" t="n">
        <f aca="false">Q801</f>
        <v>0</v>
      </c>
      <c r="S801" s="35" t="n">
        <f aca="false">L801+P801+Q801+R801</f>
        <v>0</v>
      </c>
      <c r="T801" s="34" t="str">
        <f aca="false">IF(A801="","",IFERROR(INDEX(Customers!$B$5:$B$204,MATCH(C801,Customers!$A$5:$A$204,0))&amp;"",""))</f>
        <v/>
      </c>
      <c r="U801" s="38" t="str">
        <f aca="false">IF(A801="","",IF(T801&lt;&gt;"","B2B",IF(AND(O801="Yes",SUMIF($A$5:$A$1004,A801,$L$5:$L$1004)+SUMIF($A$5:$A$1004,A801,$P$5:$P$1004)&gt;100000),"B2CL","B2CS")))</f>
        <v/>
      </c>
      <c r="V801" s="17" t="str">
        <f aca="false">IF(A801="","",TEXT(B801,"mmm-yyyy"))</f>
        <v/>
      </c>
    </row>
    <row r="802" customFormat="false" ht="15" hidden="false" customHeight="true" outlineLevel="0" collapsed="false">
      <c r="A802" s="24"/>
      <c r="B802" s="39"/>
      <c r="C802" s="24"/>
      <c r="D802" s="24"/>
      <c r="E802" s="40"/>
      <c r="F802" s="29"/>
      <c r="G802" s="30"/>
      <c r="H802" s="17" t="str">
        <f aca="false">IF(A802="","",A802&amp;"|"&amp;COUNTIF(A$5:A802,A802))</f>
        <v/>
      </c>
      <c r="I802" s="33" t="str">
        <f aca="false">IF(A802="","",IFERROR(INDEX(Items!$B$5:$B$304,MATCH(D802,Items!$A$5:$A$304,0))&amp;"",""))</f>
        <v/>
      </c>
      <c r="J802" s="34" t="str">
        <f aca="false">IF(A802="","",IFERROR(INDEX(Items!$C$5:$C$304,MATCH(D802,Items!$A$5:$A$304,0))&amp;"",""))</f>
        <v/>
      </c>
      <c r="K802" s="35" t="n">
        <f aca="false">IF(A802="",0,IF(ISNUMBER(F802),F802,IFERROR(INDEX(Items!$D$5:$D$304,MATCH(D802,Items!$A$5:$A$304,0)),0)))</f>
        <v>0</v>
      </c>
      <c r="L802" s="35" t="n">
        <f aca="false">ROUND(N(E802)*K802*(1-N(G802)),2)</f>
        <v>0</v>
      </c>
      <c r="M802" s="36" t="n">
        <f aca="false">IF(A802="",0,IFERROR(INDEX(Items!$E$5:$E$304,MATCH(D802,Items!$A$5:$A$304,0)),0))</f>
        <v>0</v>
      </c>
      <c r="N802" s="37" t="str">
        <f aca="false">IF(A802="","",IFERROR(INDEX(Customers!$E$5:$E$204,MATCH(C802,Customers!$A$5:$A$204,0)),"?"))</f>
        <v/>
      </c>
      <c r="O802" s="38" t="str">
        <f aca="false">IF(A802="","",IF(N802=Settings!$B$17,"No","Yes"))</f>
        <v/>
      </c>
      <c r="P802" s="35" t="n">
        <f aca="false">IF(O802="Yes",ROUND(L802*M802,2),0)</f>
        <v>0</v>
      </c>
      <c r="Q802" s="35" t="n">
        <f aca="false">IF(O802="No",ROUND(L802*M802/2,2),0)</f>
        <v>0</v>
      </c>
      <c r="R802" s="35" t="n">
        <f aca="false">Q802</f>
        <v>0</v>
      </c>
      <c r="S802" s="35" t="n">
        <f aca="false">L802+P802+Q802+R802</f>
        <v>0</v>
      </c>
      <c r="T802" s="34" t="str">
        <f aca="false">IF(A802="","",IFERROR(INDEX(Customers!$B$5:$B$204,MATCH(C802,Customers!$A$5:$A$204,0))&amp;"",""))</f>
        <v/>
      </c>
      <c r="U802" s="38" t="str">
        <f aca="false">IF(A802="","",IF(T802&lt;&gt;"","B2B",IF(AND(O802="Yes",SUMIF($A$5:$A$1004,A802,$L$5:$L$1004)+SUMIF($A$5:$A$1004,A802,$P$5:$P$1004)&gt;100000),"B2CL","B2CS")))</f>
        <v/>
      </c>
      <c r="V802" s="17" t="str">
        <f aca="false">IF(A802="","",TEXT(B802,"mmm-yyyy"))</f>
        <v/>
      </c>
    </row>
    <row r="803" customFormat="false" ht="15" hidden="false" customHeight="true" outlineLevel="0" collapsed="false">
      <c r="A803" s="24"/>
      <c r="B803" s="39"/>
      <c r="C803" s="24"/>
      <c r="D803" s="24"/>
      <c r="E803" s="40"/>
      <c r="F803" s="29"/>
      <c r="G803" s="30"/>
      <c r="H803" s="17" t="str">
        <f aca="false">IF(A803="","",A803&amp;"|"&amp;COUNTIF(A$5:A803,A803))</f>
        <v/>
      </c>
      <c r="I803" s="33" t="str">
        <f aca="false">IF(A803="","",IFERROR(INDEX(Items!$B$5:$B$304,MATCH(D803,Items!$A$5:$A$304,0))&amp;"",""))</f>
        <v/>
      </c>
      <c r="J803" s="34" t="str">
        <f aca="false">IF(A803="","",IFERROR(INDEX(Items!$C$5:$C$304,MATCH(D803,Items!$A$5:$A$304,0))&amp;"",""))</f>
        <v/>
      </c>
      <c r="K803" s="35" t="n">
        <f aca="false">IF(A803="",0,IF(ISNUMBER(F803),F803,IFERROR(INDEX(Items!$D$5:$D$304,MATCH(D803,Items!$A$5:$A$304,0)),0)))</f>
        <v>0</v>
      </c>
      <c r="L803" s="35" t="n">
        <f aca="false">ROUND(N(E803)*K803*(1-N(G803)),2)</f>
        <v>0</v>
      </c>
      <c r="M803" s="36" t="n">
        <f aca="false">IF(A803="",0,IFERROR(INDEX(Items!$E$5:$E$304,MATCH(D803,Items!$A$5:$A$304,0)),0))</f>
        <v>0</v>
      </c>
      <c r="N803" s="37" t="str">
        <f aca="false">IF(A803="","",IFERROR(INDEX(Customers!$E$5:$E$204,MATCH(C803,Customers!$A$5:$A$204,0)),"?"))</f>
        <v/>
      </c>
      <c r="O803" s="38" t="str">
        <f aca="false">IF(A803="","",IF(N803=Settings!$B$17,"No","Yes"))</f>
        <v/>
      </c>
      <c r="P803" s="35" t="n">
        <f aca="false">IF(O803="Yes",ROUND(L803*M803,2),0)</f>
        <v>0</v>
      </c>
      <c r="Q803" s="35" t="n">
        <f aca="false">IF(O803="No",ROUND(L803*M803/2,2),0)</f>
        <v>0</v>
      </c>
      <c r="R803" s="35" t="n">
        <f aca="false">Q803</f>
        <v>0</v>
      </c>
      <c r="S803" s="35" t="n">
        <f aca="false">L803+P803+Q803+R803</f>
        <v>0</v>
      </c>
      <c r="T803" s="34" t="str">
        <f aca="false">IF(A803="","",IFERROR(INDEX(Customers!$B$5:$B$204,MATCH(C803,Customers!$A$5:$A$204,0))&amp;"",""))</f>
        <v/>
      </c>
      <c r="U803" s="38" t="str">
        <f aca="false">IF(A803="","",IF(T803&lt;&gt;"","B2B",IF(AND(O803="Yes",SUMIF($A$5:$A$1004,A803,$L$5:$L$1004)+SUMIF($A$5:$A$1004,A803,$P$5:$P$1004)&gt;100000),"B2CL","B2CS")))</f>
        <v/>
      </c>
      <c r="V803" s="17" t="str">
        <f aca="false">IF(A803="","",TEXT(B803,"mmm-yyyy"))</f>
        <v/>
      </c>
    </row>
    <row r="804" customFormat="false" ht="15" hidden="false" customHeight="true" outlineLevel="0" collapsed="false">
      <c r="A804" s="24"/>
      <c r="B804" s="39"/>
      <c r="C804" s="24"/>
      <c r="D804" s="24"/>
      <c r="E804" s="40"/>
      <c r="F804" s="29"/>
      <c r="G804" s="30"/>
      <c r="H804" s="17" t="str">
        <f aca="false">IF(A804="","",A804&amp;"|"&amp;COUNTIF(A$5:A804,A804))</f>
        <v/>
      </c>
      <c r="I804" s="33" t="str">
        <f aca="false">IF(A804="","",IFERROR(INDEX(Items!$B$5:$B$304,MATCH(D804,Items!$A$5:$A$304,0))&amp;"",""))</f>
        <v/>
      </c>
      <c r="J804" s="34" t="str">
        <f aca="false">IF(A804="","",IFERROR(INDEX(Items!$C$5:$C$304,MATCH(D804,Items!$A$5:$A$304,0))&amp;"",""))</f>
        <v/>
      </c>
      <c r="K804" s="35" t="n">
        <f aca="false">IF(A804="",0,IF(ISNUMBER(F804),F804,IFERROR(INDEX(Items!$D$5:$D$304,MATCH(D804,Items!$A$5:$A$304,0)),0)))</f>
        <v>0</v>
      </c>
      <c r="L804" s="35" t="n">
        <f aca="false">ROUND(N(E804)*K804*(1-N(G804)),2)</f>
        <v>0</v>
      </c>
      <c r="M804" s="36" t="n">
        <f aca="false">IF(A804="",0,IFERROR(INDEX(Items!$E$5:$E$304,MATCH(D804,Items!$A$5:$A$304,0)),0))</f>
        <v>0</v>
      </c>
      <c r="N804" s="37" t="str">
        <f aca="false">IF(A804="","",IFERROR(INDEX(Customers!$E$5:$E$204,MATCH(C804,Customers!$A$5:$A$204,0)),"?"))</f>
        <v/>
      </c>
      <c r="O804" s="38" t="str">
        <f aca="false">IF(A804="","",IF(N804=Settings!$B$17,"No","Yes"))</f>
        <v/>
      </c>
      <c r="P804" s="35" t="n">
        <f aca="false">IF(O804="Yes",ROUND(L804*M804,2),0)</f>
        <v>0</v>
      </c>
      <c r="Q804" s="35" t="n">
        <f aca="false">IF(O804="No",ROUND(L804*M804/2,2),0)</f>
        <v>0</v>
      </c>
      <c r="R804" s="35" t="n">
        <f aca="false">Q804</f>
        <v>0</v>
      </c>
      <c r="S804" s="35" t="n">
        <f aca="false">L804+P804+Q804+R804</f>
        <v>0</v>
      </c>
      <c r="T804" s="34" t="str">
        <f aca="false">IF(A804="","",IFERROR(INDEX(Customers!$B$5:$B$204,MATCH(C804,Customers!$A$5:$A$204,0))&amp;"",""))</f>
        <v/>
      </c>
      <c r="U804" s="38" t="str">
        <f aca="false">IF(A804="","",IF(T804&lt;&gt;"","B2B",IF(AND(O804="Yes",SUMIF($A$5:$A$1004,A804,$L$5:$L$1004)+SUMIF($A$5:$A$1004,A804,$P$5:$P$1004)&gt;100000),"B2CL","B2CS")))</f>
        <v/>
      </c>
      <c r="V804" s="17" t="str">
        <f aca="false">IF(A804="","",TEXT(B804,"mmm-yyyy"))</f>
        <v/>
      </c>
    </row>
    <row r="805" customFormat="false" ht="15" hidden="false" customHeight="true" outlineLevel="0" collapsed="false">
      <c r="A805" s="24"/>
      <c r="B805" s="39"/>
      <c r="C805" s="24"/>
      <c r="D805" s="24"/>
      <c r="E805" s="40"/>
      <c r="F805" s="29"/>
      <c r="G805" s="30"/>
      <c r="H805" s="17" t="str">
        <f aca="false">IF(A805="","",A805&amp;"|"&amp;COUNTIF(A$5:A805,A805))</f>
        <v/>
      </c>
      <c r="I805" s="33" t="str">
        <f aca="false">IF(A805="","",IFERROR(INDEX(Items!$B$5:$B$304,MATCH(D805,Items!$A$5:$A$304,0))&amp;"",""))</f>
        <v/>
      </c>
      <c r="J805" s="34" t="str">
        <f aca="false">IF(A805="","",IFERROR(INDEX(Items!$C$5:$C$304,MATCH(D805,Items!$A$5:$A$304,0))&amp;"",""))</f>
        <v/>
      </c>
      <c r="K805" s="35" t="n">
        <f aca="false">IF(A805="",0,IF(ISNUMBER(F805),F805,IFERROR(INDEX(Items!$D$5:$D$304,MATCH(D805,Items!$A$5:$A$304,0)),0)))</f>
        <v>0</v>
      </c>
      <c r="L805" s="35" t="n">
        <f aca="false">ROUND(N(E805)*K805*(1-N(G805)),2)</f>
        <v>0</v>
      </c>
      <c r="M805" s="36" t="n">
        <f aca="false">IF(A805="",0,IFERROR(INDEX(Items!$E$5:$E$304,MATCH(D805,Items!$A$5:$A$304,0)),0))</f>
        <v>0</v>
      </c>
      <c r="N805" s="37" t="str">
        <f aca="false">IF(A805="","",IFERROR(INDEX(Customers!$E$5:$E$204,MATCH(C805,Customers!$A$5:$A$204,0)),"?"))</f>
        <v/>
      </c>
      <c r="O805" s="38" t="str">
        <f aca="false">IF(A805="","",IF(N805=Settings!$B$17,"No","Yes"))</f>
        <v/>
      </c>
      <c r="P805" s="35" t="n">
        <f aca="false">IF(O805="Yes",ROUND(L805*M805,2),0)</f>
        <v>0</v>
      </c>
      <c r="Q805" s="35" t="n">
        <f aca="false">IF(O805="No",ROUND(L805*M805/2,2),0)</f>
        <v>0</v>
      </c>
      <c r="R805" s="35" t="n">
        <f aca="false">Q805</f>
        <v>0</v>
      </c>
      <c r="S805" s="35" t="n">
        <f aca="false">L805+P805+Q805+R805</f>
        <v>0</v>
      </c>
      <c r="T805" s="34" t="str">
        <f aca="false">IF(A805="","",IFERROR(INDEX(Customers!$B$5:$B$204,MATCH(C805,Customers!$A$5:$A$204,0))&amp;"",""))</f>
        <v/>
      </c>
      <c r="U805" s="38" t="str">
        <f aca="false">IF(A805="","",IF(T805&lt;&gt;"","B2B",IF(AND(O805="Yes",SUMIF($A$5:$A$1004,A805,$L$5:$L$1004)+SUMIF($A$5:$A$1004,A805,$P$5:$P$1004)&gt;100000),"B2CL","B2CS")))</f>
        <v/>
      </c>
      <c r="V805" s="17" t="str">
        <f aca="false">IF(A805="","",TEXT(B805,"mmm-yyyy"))</f>
        <v/>
      </c>
    </row>
    <row r="806" customFormat="false" ht="15" hidden="false" customHeight="true" outlineLevel="0" collapsed="false">
      <c r="A806" s="24"/>
      <c r="B806" s="39"/>
      <c r="C806" s="24"/>
      <c r="D806" s="24"/>
      <c r="E806" s="40"/>
      <c r="F806" s="29"/>
      <c r="G806" s="30"/>
      <c r="H806" s="17" t="str">
        <f aca="false">IF(A806="","",A806&amp;"|"&amp;COUNTIF(A$5:A806,A806))</f>
        <v/>
      </c>
      <c r="I806" s="33" t="str">
        <f aca="false">IF(A806="","",IFERROR(INDEX(Items!$B$5:$B$304,MATCH(D806,Items!$A$5:$A$304,0))&amp;"",""))</f>
        <v/>
      </c>
      <c r="J806" s="34" t="str">
        <f aca="false">IF(A806="","",IFERROR(INDEX(Items!$C$5:$C$304,MATCH(D806,Items!$A$5:$A$304,0))&amp;"",""))</f>
        <v/>
      </c>
      <c r="K806" s="35" t="n">
        <f aca="false">IF(A806="",0,IF(ISNUMBER(F806),F806,IFERROR(INDEX(Items!$D$5:$D$304,MATCH(D806,Items!$A$5:$A$304,0)),0)))</f>
        <v>0</v>
      </c>
      <c r="L806" s="35" t="n">
        <f aca="false">ROUND(N(E806)*K806*(1-N(G806)),2)</f>
        <v>0</v>
      </c>
      <c r="M806" s="36" t="n">
        <f aca="false">IF(A806="",0,IFERROR(INDEX(Items!$E$5:$E$304,MATCH(D806,Items!$A$5:$A$304,0)),0))</f>
        <v>0</v>
      </c>
      <c r="N806" s="37" t="str">
        <f aca="false">IF(A806="","",IFERROR(INDEX(Customers!$E$5:$E$204,MATCH(C806,Customers!$A$5:$A$204,0)),"?"))</f>
        <v/>
      </c>
      <c r="O806" s="38" t="str">
        <f aca="false">IF(A806="","",IF(N806=Settings!$B$17,"No","Yes"))</f>
        <v/>
      </c>
      <c r="P806" s="35" t="n">
        <f aca="false">IF(O806="Yes",ROUND(L806*M806,2),0)</f>
        <v>0</v>
      </c>
      <c r="Q806" s="35" t="n">
        <f aca="false">IF(O806="No",ROUND(L806*M806/2,2),0)</f>
        <v>0</v>
      </c>
      <c r="R806" s="35" t="n">
        <f aca="false">Q806</f>
        <v>0</v>
      </c>
      <c r="S806" s="35" t="n">
        <f aca="false">L806+P806+Q806+R806</f>
        <v>0</v>
      </c>
      <c r="T806" s="34" t="str">
        <f aca="false">IF(A806="","",IFERROR(INDEX(Customers!$B$5:$B$204,MATCH(C806,Customers!$A$5:$A$204,0))&amp;"",""))</f>
        <v/>
      </c>
      <c r="U806" s="38" t="str">
        <f aca="false">IF(A806="","",IF(T806&lt;&gt;"","B2B",IF(AND(O806="Yes",SUMIF($A$5:$A$1004,A806,$L$5:$L$1004)+SUMIF($A$5:$A$1004,A806,$P$5:$P$1004)&gt;100000),"B2CL","B2CS")))</f>
        <v/>
      </c>
      <c r="V806" s="17" t="str">
        <f aca="false">IF(A806="","",TEXT(B806,"mmm-yyyy"))</f>
        <v/>
      </c>
    </row>
    <row r="807" customFormat="false" ht="15" hidden="false" customHeight="true" outlineLevel="0" collapsed="false">
      <c r="A807" s="24"/>
      <c r="B807" s="39"/>
      <c r="C807" s="24"/>
      <c r="D807" s="24"/>
      <c r="E807" s="40"/>
      <c r="F807" s="29"/>
      <c r="G807" s="30"/>
      <c r="H807" s="17" t="str">
        <f aca="false">IF(A807="","",A807&amp;"|"&amp;COUNTIF(A$5:A807,A807))</f>
        <v/>
      </c>
      <c r="I807" s="33" t="str">
        <f aca="false">IF(A807="","",IFERROR(INDEX(Items!$B$5:$B$304,MATCH(D807,Items!$A$5:$A$304,0))&amp;"",""))</f>
        <v/>
      </c>
      <c r="J807" s="34" t="str">
        <f aca="false">IF(A807="","",IFERROR(INDEX(Items!$C$5:$C$304,MATCH(D807,Items!$A$5:$A$304,0))&amp;"",""))</f>
        <v/>
      </c>
      <c r="K807" s="35" t="n">
        <f aca="false">IF(A807="",0,IF(ISNUMBER(F807),F807,IFERROR(INDEX(Items!$D$5:$D$304,MATCH(D807,Items!$A$5:$A$304,0)),0)))</f>
        <v>0</v>
      </c>
      <c r="L807" s="35" t="n">
        <f aca="false">ROUND(N(E807)*K807*(1-N(G807)),2)</f>
        <v>0</v>
      </c>
      <c r="M807" s="36" t="n">
        <f aca="false">IF(A807="",0,IFERROR(INDEX(Items!$E$5:$E$304,MATCH(D807,Items!$A$5:$A$304,0)),0))</f>
        <v>0</v>
      </c>
      <c r="N807" s="37" t="str">
        <f aca="false">IF(A807="","",IFERROR(INDEX(Customers!$E$5:$E$204,MATCH(C807,Customers!$A$5:$A$204,0)),"?"))</f>
        <v/>
      </c>
      <c r="O807" s="38" t="str">
        <f aca="false">IF(A807="","",IF(N807=Settings!$B$17,"No","Yes"))</f>
        <v/>
      </c>
      <c r="P807" s="35" t="n">
        <f aca="false">IF(O807="Yes",ROUND(L807*M807,2),0)</f>
        <v>0</v>
      </c>
      <c r="Q807" s="35" t="n">
        <f aca="false">IF(O807="No",ROUND(L807*M807/2,2),0)</f>
        <v>0</v>
      </c>
      <c r="R807" s="35" t="n">
        <f aca="false">Q807</f>
        <v>0</v>
      </c>
      <c r="S807" s="35" t="n">
        <f aca="false">L807+P807+Q807+R807</f>
        <v>0</v>
      </c>
      <c r="T807" s="34" t="str">
        <f aca="false">IF(A807="","",IFERROR(INDEX(Customers!$B$5:$B$204,MATCH(C807,Customers!$A$5:$A$204,0))&amp;"",""))</f>
        <v/>
      </c>
      <c r="U807" s="38" t="str">
        <f aca="false">IF(A807="","",IF(T807&lt;&gt;"","B2B",IF(AND(O807="Yes",SUMIF($A$5:$A$1004,A807,$L$5:$L$1004)+SUMIF($A$5:$A$1004,A807,$P$5:$P$1004)&gt;100000),"B2CL","B2CS")))</f>
        <v/>
      </c>
      <c r="V807" s="17" t="str">
        <f aca="false">IF(A807="","",TEXT(B807,"mmm-yyyy"))</f>
        <v/>
      </c>
    </row>
    <row r="808" customFormat="false" ht="15" hidden="false" customHeight="true" outlineLevel="0" collapsed="false">
      <c r="A808" s="24"/>
      <c r="B808" s="39"/>
      <c r="C808" s="24"/>
      <c r="D808" s="24"/>
      <c r="E808" s="40"/>
      <c r="F808" s="29"/>
      <c r="G808" s="30"/>
      <c r="H808" s="17" t="str">
        <f aca="false">IF(A808="","",A808&amp;"|"&amp;COUNTIF(A$5:A808,A808))</f>
        <v/>
      </c>
      <c r="I808" s="33" t="str">
        <f aca="false">IF(A808="","",IFERROR(INDEX(Items!$B$5:$B$304,MATCH(D808,Items!$A$5:$A$304,0))&amp;"",""))</f>
        <v/>
      </c>
      <c r="J808" s="34" t="str">
        <f aca="false">IF(A808="","",IFERROR(INDEX(Items!$C$5:$C$304,MATCH(D808,Items!$A$5:$A$304,0))&amp;"",""))</f>
        <v/>
      </c>
      <c r="K808" s="35" t="n">
        <f aca="false">IF(A808="",0,IF(ISNUMBER(F808),F808,IFERROR(INDEX(Items!$D$5:$D$304,MATCH(D808,Items!$A$5:$A$304,0)),0)))</f>
        <v>0</v>
      </c>
      <c r="L808" s="35" t="n">
        <f aca="false">ROUND(N(E808)*K808*(1-N(G808)),2)</f>
        <v>0</v>
      </c>
      <c r="M808" s="36" t="n">
        <f aca="false">IF(A808="",0,IFERROR(INDEX(Items!$E$5:$E$304,MATCH(D808,Items!$A$5:$A$304,0)),0))</f>
        <v>0</v>
      </c>
      <c r="N808" s="37" t="str">
        <f aca="false">IF(A808="","",IFERROR(INDEX(Customers!$E$5:$E$204,MATCH(C808,Customers!$A$5:$A$204,0)),"?"))</f>
        <v/>
      </c>
      <c r="O808" s="38" t="str">
        <f aca="false">IF(A808="","",IF(N808=Settings!$B$17,"No","Yes"))</f>
        <v/>
      </c>
      <c r="P808" s="35" t="n">
        <f aca="false">IF(O808="Yes",ROUND(L808*M808,2),0)</f>
        <v>0</v>
      </c>
      <c r="Q808" s="35" t="n">
        <f aca="false">IF(O808="No",ROUND(L808*M808/2,2),0)</f>
        <v>0</v>
      </c>
      <c r="R808" s="35" t="n">
        <f aca="false">Q808</f>
        <v>0</v>
      </c>
      <c r="S808" s="35" t="n">
        <f aca="false">L808+P808+Q808+R808</f>
        <v>0</v>
      </c>
      <c r="T808" s="34" t="str">
        <f aca="false">IF(A808="","",IFERROR(INDEX(Customers!$B$5:$B$204,MATCH(C808,Customers!$A$5:$A$204,0))&amp;"",""))</f>
        <v/>
      </c>
      <c r="U808" s="38" t="str">
        <f aca="false">IF(A808="","",IF(T808&lt;&gt;"","B2B",IF(AND(O808="Yes",SUMIF($A$5:$A$1004,A808,$L$5:$L$1004)+SUMIF($A$5:$A$1004,A808,$P$5:$P$1004)&gt;100000),"B2CL","B2CS")))</f>
        <v/>
      </c>
      <c r="V808" s="17" t="str">
        <f aca="false">IF(A808="","",TEXT(B808,"mmm-yyyy"))</f>
        <v/>
      </c>
    </row>
    <row r="809" customFormat="false" ht="15" hidden="false" customHeight="true" outlineLevel="0" collapsed="false">
      <c r="A809" s="24"/>
      <c r="B809" s="39"/>
      <c r="C809" s="24"/>
      <c r="D809" s="24"/>
      <c r="E809" s="40"/>
      <c r="F809" s="29"/>
      <c r="G809" s="30"/>
      <c r="H809" s="17" t="str">
        <f aca="false">IF(A809="","",A809&amp;"|"&amp;COUNTIF(A$5:A809,A809))</f>
        <v/>
      </c>
      <c r="I809" s="33" t="str">
        <f aca="false">IF(A809="","",IFERROR(INDEX(Items!$B$5:$B$304,MATCH(D809,Items!$A$5:$A$304,0))&amp;"",""))</f>
        <v/>
      </c>
      <c r="J809" s="34" t="str">
        <f aca="false">IF(A809="","",IFERROR(INDEX(Items!$C$5:$C$304,MATCH(D809,Items!$A$5:$A$304,0))&amp;"",""))</f>
        <v/>
      </c>
      <c r="K809" s="35" t="n">
        <f aca="false">IF(A809="",0,IF(ISNUMBER(F809),F809,IFERROR(INDEX(Items!$D$5:$D$304,MATCH(D809,Items!$A$5:$A$304,0)),0)))</f>
        <v>0</v>
      </c>
      <c r="L809" s="35" t="n">
        <f aca="false">ROUND(N(E809)*K809*(1-N(G809)),2)</f>
        <v>0</v>
      </c>
      <c r="M809" s="36" t="n">
        <f aca="false">IF(A809="",0,IFERROR(INDEX(Items!$E$5:$E$304,MATCH(D809,Items!$A$5:$A$304,0)),0))</f>
        <v>0</v>
      </c>
      <c r="N809" s="37" t="str">
        <f aca="false">IF(A809="","",IFERROR(INDEX(Customers!$E$5:$E$204,MATCH(C809,Customers!$A$5:$A$204,0)),"?"))</f>
        <v/>
      </c>
      <c r="O809" s="38" t="str">
        <f aca="false">IF(A809="","",IF(N809=Settings!$B$17,"No","Yes"))</f>
        <v/>
      </c>
      <c r="P809" s="35" t="n">
        <f aca="false">IF(O809="Yes",ROUND(L809*M809,2),0)</f>
        <v>0</v>
      </c>
      <c r="Q809" s="35" t="n">
        <f aca="false">IF(O809="No",ROUND(L809*M809/2,2),0)</f>
        <v>0</v>
      </c>
      <c r="R809" s="35" t="n">
        <f aca="false">Q809</f>
        <v>0</v>
      </c>
      <c r="S809" s="35" t="n">
        <f aca="false">L809+P809+Q809+R809</f>
        <v>0</v>
      </c>
      <c r="T809" s="34" t="str">
        <f aca="false">IF(A809="","",IFERROR(INDEX(Customers!$B$5:$B$204,MATCH(C809,Customers!$A$5:$A$204,0))&amp;"",""))</f>
        <v/>
      </c>
      <c r="U809" s="38" t="str">
        <f aca="false">IF(A809="","",IF(T809&lt;&gt;"","B2B",IF(AND(O809="Yes",SUMIF($A$5:$A$1004,A809,$L$5:$L$1004)+SUMIF($A$5:$A$1004,A809,$P$5:$P$1004)&gt;100000),"B2CL","B2CS")))</f>
        <v/>
      </c>
      <c r="V809" s="17" t="str">
        <f aca="false">IF(A809="","",TEXT(B809,"mmm-yyyy"))</f>
        <v/>
      </c>
    </row>
    <row r="810" customFormat="false" ht="15" hidden="false" customHeight="true" outlineLevel="0" collapsed="false">
      <c r="A810" s="24"/>
      <c r="B810" s="39"/>
      <c r="C810" s="24"/>
      <c r="D810" s="24"/>
      <c r="E810" s="40"/>
      <c r="F810" s="29"/>
      <c r="G810" s="30"/>
      <c r="H810" s="17" t="str">
        <f aca="false">IF(A810="","",A810&amp;"|"&amp;COUNTIF(A$5:A810,A810))</f>
        <v/>
      </c>
      <c r="I810" s="33" t="str">
        <f aca="false">IF(A810="","",IFERROR(INDEX(Items!$B$5:$B$304,MATCH(D810,Items!$A$5:$A$304,0))&amp;"",""))</f>
        <v/>
      </c>
      <c r="J810" s="34" t="str">
        <f aca="false">IF(A810="","",IFERROR(INDEX(Items!$C$5:$C$304,MATCH(D810,Items!$A$5:$A$304,0))&amp;"",""))</f>
        <v/>
      </c>
      <c r="K810" s="35" t="n">
        <f aca="false">IF(A810="",0,IF(ISNUMBER(F810),F810,IFERROR(INDEX(Items!$D$5:$D$304,MATCH(D810,Items!$A$5:$A$304,0)),0)))</f>
        <v>0</v>
      </c>
      <c r="L810" s="35" t="n">
        <f aca="false">ROUND(N(E810)*K810*(1-N(G810)),2)</f>
        <v>0</v>
      </c>
      <c r="M810" s="36" t="n">
        <f aca="false">IF(A810="",0,IFERROR(INDEX(Items!$E$5:$E$304,MATCH(D810,Items!$A$5:$A$304,0)),0))</f>
        <v>0</v>
      </c>
      <c r="N810" s="37" t="str">
        <f aca="false">IF(A810="","",IFERROR(INDEX(Customers!$E$5:$E$204,MATCH(C810,Customers!$A$5:$A$204,0)),"?"))</f>
        <v/>
      </c>
      <c r="O810" s="38" t="str">
        <f aca="false">IF(A810="","",IF(N810=Settings!$B$17,"No","Yes"))</f>
        <v/>
      </c>
      <c r="P810" s="35" t="n">
        <f aca="false">IF(O810="Yes",ROUND(L810*M810,2),0)</f>
        <v>0</v>
      </c>
      <c r="Q810" s="35" t="n">
        <f aca="false">IF(O810="No",ROUND(L810*M810/2,2),0)</f>
        <v>0</v>
      </c>
      <c r="R810" s="35" t="n">
        <f aca="false">Q810</f>
        <v>0</v>
      </c>
      <c r="S810" s="35" t="n">
        <f aca="false">L810+P810+Q810+R810</f>
        <v>0</v>
      </c>
      <c r="T810" s="34" t="str">
        <f aca="false">IF(A810="","",IFERROR(INDEX(Customers!$B$5:$B$204,MATCH(C810,Customers!$A$5:$A$204,0))&amp;"",""))</f>
        <v/>
      </c>
      <c r="U810" s="38" t="str">
        <f aca="false">IF(A810="","",IF(T810&lt;&gt;"","B2B",IF(AND(O810="Yes",SUMIF($A$5:$A$1004,A810,$L$5:$L$1004)+SUMIF($A$5:$A$1004,A810,$P$5:$P$1004)&gt;100000),"B2CL","B2CS")))</f>
        <v/>
      </c>
      <c r="V810" s="17" t="str">
        <f aca="false">IF(A810="","",TEXT(B810,"mmm-yyyy"))</f>
        <v/>
      </c>
    </row>
    <row r="811" customFormat="false" ht="15" hidden="false" customHeight="true" outlineLevel="0" collapsed="false">
      <c r="A811" s="24"/>
      <c r="B811" s="39"/>
      <c r="C811" s="24"/>
      <c r="D811" s="24"/>
      <c r="E811" s="40"/>
      <c r="F811" s="29"/>
      <c r="G811" s="30"/>
      <c r="H811" s="17" t="str">
        <f aca="false">IF(A811="","",A811&amp;"|"&amp;COUNTIF(A$5:A811,A811))</f>
        <v/>
      </c>
      <c r="I811" s="33" t="str">
        <f aca="false">IF(A811="","",IFERROR(INDEX(Items!$B$5:$B$304,MATCH(D811,Items!$A$5:$A$304,0))&amp;"",""))</f>
        <v/>
      </c>
      <c r="J811" s="34" t="str">
        <f aca="false">IF(A811="","",IFERROR(INDEX(Items!$C$5:$C$304,MATCH(D811,Items!$A$5:$A$304,0))&amp;"",""))</f>
        <v/>
      </c>
      <c r="K811" s="35" t="n">
        <f aca="false">IF(A811="",0,IF(ISNUMBER(F811),F811,IFERROR(INDEX(Items!$D$5:$D$304,MATCH(D811,Items!$A$5:$A$304,0)),0)))</f>
        <v>0</v>
      </c>
      <c r="L811" s="35" t="n">
        <f aca="false">ROUND(N(E811)*K811*(1-N(G811)),2)</f>
        <v>0</v>
      </c>
      <c r="M811" s="36" t="n">
        <f aca="false">IF(A811="",0,IFERROR(INDEX(Items!$E$5:$E$304,MATCH(D811,Items!$A$5:$A$304,0)),0))</f>
        <v>0</v>
      </c>
      <c r="N811" s="37" t="str">
        <f aca="false">IF(A811="","",IFERROR(INDEX(Customers!$E$5:$E$204,MATCH(C811,Customers!$A$5:$A$204,0)),"?"))</f>
        <v/>
      </c>
      <c r="O811" s="38" t="str">
        <f aca="false">IF(A811="","",IF(N811=Settings!$B$17,"No","Yes"))</f>
        <v/>
      </c>
      <c r="P811" s="35" t="n">
        <f aca="false">IF(O811="Yes",ROUND(L811*M811,2),0)</f>
        <v>0</v>
      </c>
      <c r="Q811" s="35" t="n">
        <f aca="false">IF(O811="No",ROUND(L811*M811/2,2),0)</f>
        <v>0</v>
      </c>
      <c r="R811" s="35" t="n">
        <f aca="false">Q811</f>
        <v>0</v>
      </c>
      <c r="S811" s="35" t="n">
        <f aca="false">L811+P811+Q811+R811</f>
        <v>0</v>
      </c>
      <c r="T811" s="34" t="str">
        <f aca="false">IF(A811="","",IFERROR(INDEX(Customers!$B$5:$B$204,MATCH(C811,Customers!$A$5:$A$204,0))&amp;"",""))</f>
        <v/>
      </c>
      <c r="U811" s="38" t="str">
        <f aca="false">IF(A811="","",IF(T811&lt;&gt;"","B2B",IF(AND(O811="Yes",SUMIF($A$5:$A$1004,A811,$L$5:$L$1004)+SUMIF($A$5:$A$1004,A811,$P$5:$P$1004)&gt;100000),"B2CL","B2CS")))</f>
        <v/>
      </c>
      <c r="V811" s="17" t="str">
        <f aca="false">IF(A811="","",TEXT(B811,"mmm-yyyy"))</f>
        <v/>
      </c>
    </row>
    <row r="812" customFormat="false" ht="15" hidden="false" customHeight="true" outlineLevel="0" collapsed="false">
      <c r="A812" s="24"/>
      <c r="B812" s="39"/>
      <c r="C812" s="24"/>
      <c r="D812" s="24"/>
      <c r="E812" s="40"/>
      <c r="F812" s="29"/>
      <c r="G812" s="30"/>
      <c r="H812" s="17" t="str">
        <f aca="false">IF(A812="","",A812&amp;"|"&amp;COUNTIF(A$5:A812,A812))</f>
        <v/>
      </c>
      <c r="I812" s="33" t="str">
        <f aca="false">IF(A812="","",IFERROR(INDEX(Items!$B$5:$B$304,MATCH(D812,Items!$A$5:$A$304,0))&amp;"",""))</f>
        <v/>
      </c>
      <c r="J812" s="34" t="str">
        <f aca="false">IF(A812="","",IFERROR(INDEX(Items!$C$5:$C$304,MATCH(D812,Items!$A$5:$A$304,0))&amp;"",""))</f>
        <v/>
      </c>
      <c r="K812" s="35" t="n">
        <f aca="false">IF(A812="",0,IF(ISNUMBER(F812),F812,IFERROR(INDEX(Items!$D$5:$D$304,MATCH(D812,Items!$A$5:$A$304,0)),0)))</f>
        <v>0</v>
      </c>
      <c r="L812" s="35" t="n">
        <f aca="false">ROUND(N(E812)*K812*(1-N(G812)),2)</f>
        <v>0</v>
      </c>
      <c r="M812" s="36" t="n">
        <f aca="false">IF(A812="",0,IFERROR(INDEX(Items!$E$5:$E$304,MATCH(D812,Items!$A$5:$A$304,0)),0))</f>
        <v>0</v>
      </c>
      <c r="N812" s="37" t="str">
        <f aca="false">IF(A812="","",IFERROR(INDEX(Customers!$E$5:$E$204,MATCH(C812,Customers!$A$5:$A$204,0)),"?"))</f>
        <v/>
      </c>
      <c r="O812" s="38" t="str">
        <f aca="false">IF(A812="","",IF(N812=Settings!$B$17,"No","Yes"))</f>
        <v/>
      </c>
      <c r="P812" s="35" t="n">
        <f aca="false">IF(O812="Yes",ROUND(L812*M812,2),0)</f>
        <v>0</v>
      </c>
      <c r="Q812" s="35" t="n">
        <f aca="false">IF(O812="No",ROUND(L812*M812/2,2),0)</f>
        <v>0</v>
      </c>
      <c r="R812" s="35" t="n">
        <f aca="false">Q812</f>
        <v>0</v>
      </c>
      <c r="S812" s="35" t="n">
        <f aca="false">L812+P812+Q812+R812</f>
        <v>0</v>
      </c>
      <c r="T812" s="34" t="str">
        <f aca="false">IF(A812="","",IFERROR(INDEX(Customers!$B$5:$B$204,MATCH(C812,Customers!$A$5:$A$204,0))&amp;"",""))</f>
        <v/>
      </c>
      <c r="U812" s="38" t="str">
        <f aca="false">IF(A812="","",IF(T812&lt;&gt;"","B2B",IF(AND(O812="Yes",SUMIF($A$5:$A$1004,A812,$L$5:$L$1004)+SUMIF($A$5:$A$1004,A812,$P$5:$P$1004)&gt;100000),"B2CL","B2CS")))</f>
        <v/>
      </c>
      <c r="V812" s="17" t="str">
        <f aca="false">IF(A812="","",TEXT(B812,"mmm-yyyy"))</f>
        <v/>
      </c>
    </row>
    <row r="813" customFormat="false" ht="15" hidden="false" customHeight="true" outlineLevel="0" collapsed="false">
      <c r="A813" s="24"/>
      <c r="B813" s="39"/>
      <c r="C813" s="24"/>
      <c r="D813" s="24"/>
      <c r="E813" s="40"/>
      <c r="F813" s="29"/>
      <c r="G813" s="30"/>
      <c r="H813" s="17" t="str">
        <f aca="false">IF(A813="","",A813&amp;"|"&amp;COUNTIF(A$5:A813,A813))</f>
        <v/>
      </c>
      <c r="I813" s="33" t="str">
        <f aca="false">IF(A813="","",IFERROR(INDEX(Items!$B$5:$B$304,MATCH(D813,Items!$A$5:$A$304,0))&amp;"",""))</f>
        <v/>
      </c>
      <c r="J813" s="34" t="str">
        <f aca="false">IF(A813="","",IFERROR(INDEX(Items!$C$5:$C$304,MATCH(D813,Items!$A$5:$A$304,0))&amp;"",""))</f>
        <v/>
      </c>
      <c r="K813" s="35" t="n">
        <f aca="false">IF(A813="",0,IF(ISNUMBER(F813),F813,IFERROR(INDEX(Items!$D$5:$D$304,MATCH(D813,Items!$A$5:$A$304,0)),0)))</f>
        <v>0</v>
      </c>
      <c r="L813" s="35" t="n">
        <f aca="false">ROUND(N(E813)*K813*(1-N(G813)),2)</f>
        <v>0</v>
      </c>
      <c r="M813" s="36" t="n">
        <f aca="false">IF(A813="",0,IFERROR(INDEX(Items!$E$5:$E$304,MATCH(D813,Items!$A$5:$A$304,0)),0))</f>
        <v>0</v>
      </c>
      <c r="N813" s="37" t="str">
        <f aca="false">IF(A813="","",IFERROR(INDEX(Customers!$E$5:$E$204,MATCH(C813,Customers!$A$5:$A$204,0)),"?"))</f>
        <v/>
      </c>
      <c r="O813" s="38" t="str">
        <f aca="false">IF(A813="","",IF(N813=Settings!$B$17,"No","Yes"))</f>
        <v/>
      </c>
      <c r="P813" s="35" t="n">
        <f aca="false">IF(O813="Yes",ROUND(L813*M813,2),0)</f>
        <v>0</v>
      </c>
      <c r="Q813" s="35" t="n">
        <f aca="false">IF(O813="No",ROUND(L813*M813/2,2),0)</f>
        <v>0</v>
      </c>
      <c r="R813" s="35" t="n">
        <f aca="false">Q813</f>
        <v>0</v>
      </c>
      <c r="S813" s="35" t="n">
        <f aca="false">L813+P813+Q813+R813</f>
        <v>0</v>
      </c>
      <c r="T813" s="34" t="str">
        <f aca="false">IF(A813="","",IFERROR(INDEX(Customers!$B$5:$B$204,MATCH(C813,Customers!$A$5:$A$204,0))&amp;"",""))</f>
        <v/>
      </c>
      <c r="U813" s="38" t="str">
        <f aca="false">IF(A813="","",IF(T813&lt;&gt;"","B2B",IF(AND(O813="Yes",SUMIF($A$5:$A$1004,A813,$L$5:$L$1004)+SUMIF($A$5:$A$1004,A813,$P$5:$P$1004)&gt;100000),"B2CL","B2CS")))</f>
        <v/>
      </c>
      <c r="V813" s="17" t="str">
        <f aca="false">IF(A813="","",TEXT(B813,"mmm-yyyy"))</f>
        <v/>
      </c>
    </row>
    <row r="814" customFormat="false" ht="15" hidden="false" customHeight="true" outlineLevel="0" collapsed="false">
      <c r="A814" s="24"/>
      <c r="B814" s="39"/>
      <c r="C814" s="24"/>
      <c r="D814" s="24"/>
      <c r="E814" s="40"/>
      <c r="F814" s="29"/>
      <c r="G814" s="30"/>
      <c r="H814" s="17" t="str">
        <f aca="false">IF(A814="","",A814&amp;"|"&amp;COUNTIF(A$5:A814,A814))</f>
        <v/>
      </c>
      <c r="I814" s="33" t="str">
        <f aca="false">IF(A814="","",IFERROR(INDEX(Items!$B$5:$B$304,MATCH(D814,Items!$A$5:$A$304,0))&amp;"",""))</f>
        <v/>
      </c>
      <c r="J814" s="34" t="str">
        <f aca="false">IF(A814="","",IFERROR(INDEX(Items!$C$5:$C$304,MATCH(D814,Items!$A$5:$A$304,0))&amp;"",""))</f>
        <v/>
      </c>
      <c r="K814" s="35" t="n">
        <f aca="false">IF(A814="",0,IF(ISNUMBER(F814),F814,IFERROR(INDEX(Items!$D$5:$D$304,MATCH(D814,Items!$A$5:$A$304,0)),0)))</f>
        <v>0</v>
      </c>
      <c r="L814" s="35" t="n">
        <f aca="false">ROUND(N(E814)*K814*(1-N(G814)),2)</f>
        <v>0</v>
      </c>
      <c r="M814" s="36" t="n">
        <f aca="false">IF(A814="",0,IFERROR(INDEX(Items!$E$5:$E$304,MATCH(D814,Items!$A$5:$A$304,0)),0))</f>
        <v>0</v>
      </c>
      <c r="N814" s="37" t="str">
        <f aca="false">IF(A814="","",IFERROR(INDEX(Customers!$E$5:$E$204,MATCH(C814,Customers!$A$5:$A$204,0)),"?"))</f>
        <v/>
      </c>
      <c r="O814" s="38" t="str">
        <f aca="false">IF(A814="","",IF(N814=Settings!$B$17,"No","Yes"))</f>
        <v/>
      </c>
      <c r="P814" s="35" t="n">
        <f aca="false">IF(O814="Yes",ROUND(L814*M814,2),0)</f>
        <v>0</v>
      </c>
      <c r="Q814" s="35" t="n">
        <f aca="false">IF(O814="No",ROUND(L814*M814/2,2),0)</f>
        <v>0</v>
      </c>
      <c r="R814" s="35" t="n">
        <f aca="false">Q814</f>
        <v>0</v>
      </c>
      <c r="S814" s="35" t="n">
        <f aca="false">L814+P814+Q814+R814</f>
        <v>0</v>
      </c>
      <c r="T814" s="34" t="str">
        <f aca="false">IF(A814="","",IFERROR(INDEX(Customers!$B$5:$B$204,MATCH(C814,Customers!$A$5:$A$204,0))&amp;"",""))</f>
        <v/>
      </c>
      <c r="U814" s="38" t="str">
        <f aca="false">IF(A814="","",IF(T814&lt;&gt;"","B2B",IF(AND(O814="Yes",SUMIF($A$5:$A$1004,A814,$L$5:$L$1004)+SUMIF($A$5:$A$1004,A814,$P$5:$P$1004)&gt;100000),"B2CL","B2CS")))</f>
        <v/>
      </c>
      <c r="V814" s="17" t="str">
        <f aca="false">IF(A814="","",TEXT(B814,"mmm-yyyy"))</f>
        <v/>
      </c>
    </row>
    <row r="815" customFormat="false" ht="15" hidden="false" customHeight="true" outlineLevel="0" collapsed="false">
      <c r="A815" s="24"/>
      <c r="B815" s="39"/>
      <c r="C815" s="24"/>
      <c r="D815" s="24"/>
      <c r="E815" s="40"/>
      <c r="F815" s="29"/>
      <c r="G815" s="30"/>
      <c r="H815" s="17" t="str">
        <f aca="false">IF(A815="","",A815&amp;"|"&amp;COUNTIF(A$5:A815,A815))</f>
        <v/>
      </c>
      <c r="I815" s="33" t="str">
        <f aca="false">IF(A815="","",IFERROR(INDEX(Items!$B$5:$B$304,MATCH(D815,Items!$A$5:$A$304,0))&amp;"",""))</f>
        <v/>
      </c>
      <c r="J815" s="34" t="str">
        <f aca="false">IF(A815="","",IFERROR(INDEX(Items!$C$5:$C$304,MATCH(D815,Items!$A$5:$A$304,0))&amp;"",""))</f>
        <v/>
      </c>
      <c r="K815" s="35" t="n">
        <f aca="false">IF(A815="",0,IF(ISNUMBER(F815),F815,IFERROR(INDEX(Items!$D$5:$D$304,MATCH(D815,Items!$A$5:$A$304,0)),0)))</f>
        <v>0</v>
      </c>
      <c r="L815" s="35" t="n">
        <f aca="false">ROUND(N(E815)*K815*(1-N(G815)),2)</f>
        <v>0</v>
      </c>
      <c r="M815" s="36" t="n">
        <f aca="false">IF(A815="",0,IFERROR(INDEX(Items!$E$5:$E$304,MATCH(D815,Items!$A$5:$A$304,0)),0))</f>
        <v>0</v>
      </c>
      <c r="N815" s="37" t="str">
        <f aca="false">IF(A815="","",IFERROR(INDEX(Customers!$E$5:$E$204,MATCH(C815,Customers!$A$5:$A$204,0)),"?"))</f>
        <v/>
      </c>
      <c r="O815" s="38" t="str">
        <f aca="false">IF(A815="","",IF(N815=Settings!$B$17,"No","Yes"))</f>
        <v/>
      </c>
      <c r="P815" s="35" t="n">
        <f aca="false">IF(O815="Yes",ROUND(L815*M815,2),0)</f>
        <v>0</v>
      </c>
      <c r="Q815" s="35" t="n">
        <f aca="false">IF(O815="No",ROUND(L815*M815/2,2),0)</f>
        <v>0</v>
      </c>
      <c r="R815" s="35" t="n">
        <f aca="false">Q815</f>
        <v>0</v>
      </c>
      <c r="S815" s="35" t="n">
        <f aca="false">L815+P815+Q815+R815</f>
        <v>0</v>
      </c>
      <c r="T815" s="34" t="str">
        <f aca="false">IF(A815="","",IFERROR(INDEX(Customers!$B$5:$B$204,MATCH(C815,Customers!$A$5:$A$204,0))&amp;"",""))</f>
        <v/>
      </c>
      <c r="U815" s="38" t="str">
        <f aca="false">IF(A815="","",IF(T815&lt;&gt;"","B2B",IF(AND(O815="Yes",SUMIF($A$5:$A$1004,A815,$L$5:$L$1004)+SUMIF($A$5:$A$1004,A815,$P$5:$P$1004)&gt;100000),"B2CL","B2CS")))</f>
        <v/>
      </c>
      <c r="V815" s="17" t="str">
        <f aca="false">IF(A815="","",TEXT(B815,"mmm-yyyy"))</f>
        <v/>
      </c>
    </row>
    <row r="816" customFormat="false" ht="15" hidden="false" customHeight="true" outlineLevel="0" collapsed="false">
      <c r="A816" s="24"/>
      <c r="B816" s="39"/>
      <c r="C816" s="24"/>
      <c r="D816" s="24"/>
      <c r="E816" s="40"/>
      <c r="F816" s="29"/>
      <c r="G816" s="30"/>
      <c r="H816" s="17" t="str">
        <f aca="false">IF(A816="","",A816&amp;"|"&amp;COUNTIF(A$5:A816,A816))</f>
        <v/>
      </c>
      <c r="I816" s="33" t="str">
        <f aca="false">IF(A816="","",IFERROR(INDEX(Items!$B$5:$B$304,MATCH(D816,Items!$A$5:$A$304,0))&amp;"",""))</f>
        <v/>
      </c>
      <c r="J816" s="34" t="str">
        <f aca="false">IF(A816="","",IFERROR(INDEX(Items!$C$5:$C$304,MATCH(D816,Items!$A$5:$A$304,0))&amp;"",""))</f>
        <v/>
      </c>
      <c r="K816" s="35" t="n">
        <f aca="false">IF(A816="",0,IF(ISNUMBER(F816),F816,IFERROR(INDEX(Items!$D$5:$D$304,MATCH(D816,Items!$A$5:$A$304,0)),0)))</f>
        <v>0</v>
      </c>
      <c r="L816" s="35" t="n">
        <f aca="false">ROUND(N(E816)*K816*(1-N(G816)),2)</f>
        <v>0</v>
      </c>
      <c r="M816" s="36" t="n">
        <f aca="false">IF(A816="",0,IFERROR(INDEX(Items!$E$5:$E$304,MATCH(D816,Items!$A$5:$A$304,0)),0))</f>
        <v>0</v>
      </c>
      <c r="N816" s="37" t="str">
        <f aca="false">IF(A816="","",IFERROR(INDEX(Customers!$E$5:$E$204,MATCH(C816,Customers!$A$5:$A$204,0)),"?"))</f>
        <v/>
      </c>
      <c r="O816" s="38" t="str">
        <f aca="false">IF(A816="","",IF(N816=Settings!$B$17,"No","Yes"))</f>
        <v/>
      </c>
      <c r="P816" s="35" t="n">
        <f aca="false">IF(O816="Yes",ROUND(L816*M816,2),0)</f>
        <v>0</v>
      </c>
      <c r="Q816" s="35" t="n">
        <f aca="false">IF(O816="No",ROUND(L816*M816/2,2),0)</f>
        <v>0</v>
      </c>
      <c r="R816" s="35" t="n">
        <f aca="false">Q816</f>
        <v>0</v>
      </c>
      <c r="S816" s="35" t="n">
        <f aca="false">L816+P816+Q816+R816</f>
        <v>0</v>
      </c>
      <c r="T816" s="34" t="str">
        <f aca="false">IF(A816="","",IFERROR(INDEX(Customers!$B$5:$B$204,MATCH(C816,Customers!$A$5:$A$204,0))&amp;"",""))</f>
        <v/>
      </c>
      <c r="U816" s="38" t="str">
        <f aca="false">IF(A816="","",IF(T816&lt;&gt;"","B2B",IF(AND(O816="Yes",SUMIF($A$5:$A$1004,A816,$L$5:$L$1004)+SUMIF($A$5:$A$1004,A816,$P$5:$P$1004)&gt;100000),"B2CL","B2CS")))</f>
        <v/>
      </c>
      <c r="V816" s="17" t="str">
        <f aca="false">IF(A816="","",TEXT(B816,"mmm-yyyy"))</f>
        <v/>
      </c>
    </row>
    <row r="817" customFormat="false" ht="15" hidden="false" customHeight="true" outlineLevel="0" collapsed="false">
      <c r="A817" s="24"/>
      <c r="B817" s="39"/>
      <c r="C817" s="24"/>
      <c r="D817" s="24"/>
      <c r="E817" s="40"/>
      <c r="F817" s="29"/>
      <c r="G817" s="30"/>
      <c r="H817" s="17" t="str">
        <f aca="false">IF(A817="","",A817&amp;"|"&amp;COUNTIF(A$5:A817,A817))</f>
        <v/>
      </c>
      <c r="I817" s="33" t="str">
        <f aca="false">IF(A817="","",IFERROR(INDEX(Items!$B$5:$B$304,MATCH(D817,Items!$A$5:$A$304,0))&amp;"",""))</f>
        <v/>
      </c>
      <c r="J817" s="34" t="str">
        <f aca="false">IF(A817="","",IFERROR(INDEX(Items!$C$5:$C$304,MATCH(D817,Items!$A$5:$A$304,0))&amp;"",""))</f>
        <v/>
      </c>
      <c r="K817" s="35" t="n">
        <f aca="false">IF(A817="",0,IF(ISNUMBER(F817),F817,IFERROR(INDEX(Items!$D$5:$D$304,MATCH(D817,Items!$A$5:$A$304,0)),0)))</f>
        <v>0</v>
      </c>
      <c r="L817" s="35" t="n">
        <f aca="false">ROUND(N(E817)*K817*(1-N(G817)),2)</f>
        <v>0</v>
      </c>
      <c r="M817" s="36" t="n">
        <f aca="false">IF(A817="",0,IFERROR(INDEX(Items!$E$5:$E$304,MATCH(D817,Items!$A$5:$A$304,0)),0))</f>
        <v>0</v>
      </c>
      <c r="N817" s="37" t="str">
        <f aca="false">IF(A817="","",IFERROR(INDEX(Customers!$E$5:$E$204,MATCH(C817,Customers!$A$5:$A$204,0)),"?"))</f>
        <v/>
      </c>
      <c r="O817" s="38" t="str">
        <f aca="false">IF(A817="","",IF(N817=Settings!$B$17,"No","Yes"))</f>
        <v/>
      </c>
      <c r="P817" s="35" t="n">
        <f aca="false">IF(O817="Yes",ROUND(L817*M817,2),0)</f>
        <v>0</v>
      </c>
      <c r="Q817" s="35" t="n">
        <f aca="false">IF(O817="No",ROUND(L817*M817/2,2),0)</f>
        <v>0</v>
      </c>
      <c r="R817" s="35" t="n">
        <f aca="false">Q817</f>
        <v>0</v>
      </c>
      <c r="S817" s="35" t="n">
        <f aca="false">L817+P817+Q817+R817</f>
        <v>0</v>
      </c>
      <c r="T817" s="34" t="str">
        <f aca="false">IF(A817="","",IFERROR(INDEX(Customers!$B$5:$B$204,MATCH(C817,Customers!$A$5:$A$204,0))&amp;"",""))</f>
        <v/>
      </c>
      <c r="U817" s="38" t="str">
        <f aca="false">IF(A817="","",IF(T817&lt;&gt;"","B2B",IF(AND(O817="Yes",SUMIF($A$5:$A$1004,A817,$L$5:$L$1004)+SUMIF($A$5:$A$1004,A817,$P$5:$P$1004)&gt;100000),"B2CL","B2CS")))</f>
        <v/>
      </c>
      <c r="V817" s="17" t="str">
        <f aca="false">IF(A817="","",TEXT(B817,"mmm-yyyy"))</f>
        <v/>
      </c>
    </row>
    <row r="818" customFormat="false" ht="15" hidden="false" customHeight="true" outlineLevel="0" collapsed="false">
      <c r="A818" s="24"/>
      <c r="B818" s="39"/>
      <c r="C818" s="24"/>
      <c r="D818" s="24"/>
      <c r="E818" s="40"/>
      <c r="F818" s="29"/>
      <c r="G818" s="30"/>
      <c r="H818" s="17" t="str">
        <f aca="false">IF(A818="","",A818&amp;"|"&amp;COUNTIF(A$5:A818,A818))</f>
        <v/>
      </c>
      <c r="I818" s="33" t="str">
        <f aca="false">IF(A818="","",IFERROR(INDEX(Items!$B$5:$B$304,MATCH(D818,Items!$A$5:$A$304,0))&amp;"",""))</f>
        <v/>
      </c>
      <c r="J818" s="34" t="str">
        <f aca="false">IF(A818="","",IFERROR(INDEX(Items!$C$5:$C$304,MATCH(D818,Items!$A$5:$A$304,0))&amp;"",""))</f>
        <v/>
      </c>
      <c r="K818" s="35" t="n">
        <f aca="false">IF(A818="",0,IF(ISNUMBER(F818),F818,IFERROR(INDEX(Items!$D$5:$D$304,MATCH(D818,Items!$A$5:$A$304,0)),0)))</f>
        <v>0</v>
      </c>
      <c r="L818" s="35" t="n">
        <f aca="false">ROUND(N(E818)*K818*(1-N(G818)),2)</f>
        <v>0</v>
      </c>
      <c r="M818" s="36" t="n">
        <f aca="false">IF(A818="",0,IFERROR(INDEX(Items!$E$5:$E$304,MATCH(D818,Items!$A$5:$A$304,0)),0))</f>
        <v>0</v>
      </c>
      <c r="N818" s="37" t="str">
        <f aca="false">IF(A818="","",IFERROR(INDEX(Customers!$E$5:$E$204,MATCH(C818,Customers!$A$5:$A$204,0)),"?"))</f>
        <v/>
      </c>
      <c r="O818" s="38" t="str">
        <f aca="false">IF(A818="","",IF(N818=Settings!$B$17,"No","Yes"))</f>
        <v/>
      </c>
      <c r="P818" s="35" t="n">
        <f aca="false">IF(O818="Yes",ROUND(L818*M818,2),0)</f>
        <v>0</v>
      </c>
      <c r="Q818" s="35" t="n">
        <f aca="false">IF(O818="No",ROUND(L818*M818/2,2),0)</f>
        <v>0</v>
      </c>
      <c r="R818" s="35" t="n">
        <f aca="false">Q818</f>
        <v>0</v>
      </c>
      <c r="S818" s="35" t="n">
        <f aca="false">L818+P818+Q818+R818</f>
        <v>0</v>
      </c>
      <c r="T818" s="34" t="str">
        <f aca="false">IF(A818="","",IFERROR(INDEX(Customers!$B$5:$B$204,MATCH(C818,Customers!$A$5:$A$204,0))&amp;"",""))</f>
        <v/>
      </c>
      <c r="U818" s="38" t="str">
        <f aca="false">IF(A818="","",IF(T818&lt;&gt;"","B2B",IF(AND(O818="Yes",SUMIF($A$5:$A$1004,A818,$L$5:$L$1004)+SUMIF($A$5:$A$1004,A818,$P$5:$P$1004)&gt;100000),"B2CL","B2CS")))</f>
        <v/>
      </c>
      <c r="V818" s="17" t="str">
        <f aca="false">IF(A818="","",TEXT(B818,"mmm-yyyy"))</f>
        <v/>
      </c>
    </row>
    <row r="819" customFormat="false" ht="15" hidden="false" customHeight="true" outlineLevel="0" collapsed="false">
      <c r="A819" s="24"/>
      <c r="B819" s="39"/>
      <c r="C819" s="24"/>
      <c r="D819" s="24"/>
      <c r="E819" s="40"/>
      <c r="F819" s="29"/>
      <c r="G819" s="30"/>
      <c r="H819" s="17" t="str">
        <f aca="false">IF(A819="","",A819&amp;"|"&amp;COUNTIF(A$5:A819,A819))</f>
        <v/>
      </c>
      <c r="I819" s="33" t="str">
        <f aca="false">IF(A819="","",IFERROR(INDEX(Items!$B$5:$B$304,MATCH(D819,Items!$A$5:$A$304,0))&amp;"",""))</f>
        <v/>
      </c>
      <c r="J819" s="34" t="str">
        <f aca="false">IF(A819="","",IFERROR(INDEX(Items!$C$5:$C$304,MATCH(D819,Items!$A$5:$A$304,0))&amp;"",""))</f>
        <v/>
      </c>
      <c r="K819" s="35" t="n">
        <f aca="false">IF(A819="",0,IF(ISNUMBER(F819),F819,IFERROR(INDEX(Items!$D$5:$D$304,MATCH(D819,Items!$A$5:$A$304,0)),0)))</f>
        <v>0</v>
      </c>
      <c r="L819" s="35" t="n">
        <f aca="false">ROUND(N(E819)*K819*(1-N(G819)),2)</f>
        <v>0</v>
      </c>
      <c r="M819" s="36" t="n">
        <f aca="false">IF(A819="",0,IFERROR(INDEX(Items!$E$5:$E$304,MATCH(D819,Items!$A$5:$A$304,0)),0))</f>
        <v>0</v>
      </c>
      <c r="N819" s="37" t="str">
        <f aca="false">IF(A819="","",IFERROR(INDEX(Customers!$E$5:$E$204,MATCH(C819,Customers!$A$5:$A$204,0)),"?"))</f>
        <v/>
      </c>
      <c r="O819" s="38" t="str">
        <f aca="false">IF(A819="","",IF(N819=Settings!$B$17,"No","Yes"))</f>
        <v/>
      </c>
      <c r="P819" s="35" t="n">
        <f aca="false">IF(O819="Yes",ROUND(L819*M819,2),0)</f>
        <v>0</v>
      </c>
      <c r="Q819" s="35" t="n">
        <f aca="false">IF(O819="No",ROUND(L819*M819/2,2),0)</f>
        <v>0</v>
      </c>
      <c r="R819" s="35" t="n">
        <f aca="false">Q819</f>
        <v>0</v>
      </c>
      <c r="S819" s="35" t="n">
        <f aca="false">L819+P819+Q819+R819</f>
        <v>0</v>
      </c>
      <c r="T819" s="34" t="str">
        <f aca="false">IF(A819="","",IFERROR(INDEX(Customers!$B$5:$B$204,MATCH(C819,Customers!$A$5:$A$204,0))&amp;"",""))</f>
        <v/>
      </c>
      <c r="U819" s="38" t="str">
        <f aca="false">IF(A819="","",IF(T819&lt;&gt;"","B2B",IF(AND(O819="Yes",SUMIF($A$5:$A$1004,A819,$L$5:$L$1004)+SUMIF($A$5:$A$1004,A819,$P$5:$P$1004)&gt;100000),"B2CL","B2CS")))</f>
        <v/>
      </c>
      <c r="V819" s="17" t="str">
        <f aca="false">IF(A819="","",TEXT(B819,"mmm-yyyy"))</f>
        <v/>
      </c>
    </row>
    <row r="820" customFormat="false" ht="15" hidden="false" customHeight="true" outlineLevel="0" collapsed="false">
      <c r="A820" s="24"/>
      <c r="B820" s="39"/>
      <c r="C820" s="24"/>
      <c r="D820" s="24"/>
      <c r="E820" s="40"/>
      <c r="F820" s="29"/>
      <c r="G820" s="30"/>
      <c r="H820" s="17" t="str">
        <f aca="false">IF(A820="","",A820&amp;"|"&amp;COUNTIF(A$5:A820,A820))</f>
        <v/>
      </c>
      <c r="I820" s="33" t="str">
        <f aca="false">IF(A820="","",IFERROR(INDEX(Items!$B$5:$B$304,MATCH(D820,Items!$A$5:$A$304,0))&amp;"",""))</f>
        <v/>
      </c>
      <c r="J820" s="34" t="str">
        <f aca="false">IF(A820="","",IFERROR(INDEX(Items!$C$5:$C$304,MATCH(D820,Items!$A$5:$A$304,0))&amp;"",""))</f>
        <v/>
      </c>
      <c r="K820" s="35" t="n">
        <f aca="false">IF(A820="",0,IF(ISNUMBER(F820),F820,IFERROR(INDEX(Items!$D$5:$D$304,MATCH(D820,Items!$A$5:$A$304,0)),0)))</f>
        <v>0</v>
      </c>
      <c r="L820" s="35" t="n">
        <f aca="false">ROUND(N(E820)*K820*(1-N(G820)),2)</f>
        <v>0</v>
      </c>
      <c r="M820" s="36" t="n">
        <f aca="false">IF(A820="",0,IFERROR(INDEX(Items!$E$5:$E$304,MATCH(D820,Items!$A$5:$A$304,0)),0))</f>
        <v>0</v>
      </c>
      <c r="N820" s="37" t="str">
        <f aca="false">IF(A820="","",IFERROR(INDEX(Customers!$E$5:$E$204,MATCH(C820,Customers!$A$5:$A$204,0)),"?"))</f>
        <v/>
      </c>
      <c r="O820" s="38" t="str">
        <f aca="false">IF(A820="","",IF(N820=Settings!$B$17,"No","Yes"))</f>
        <v/>
      </c>
      <c r="P820" s="35" t="n">
        <f aca="false">IF(O820="Yes",ROUND(L820*M820,2),0)</f>
        <v>0</v>
      </c>
      <c r="Q820" s="35" t="n">
        <f aca="false">IF(O820="No",ROUND(L820*M820/2,2),0)</f>
        <v>0</v>
      </c>
      <c r="R820" s="35" t="n">
        <f aca="false">Q820</f>
        <v>0</v>
      </c>
      <c r="S820" s="35" t="n">
        <f aca="false">L820+P820+Q820+R820</f>
        <v>0</v>
      </c>
      <c r="T820" s="34" t="str">
        <f aca="false">IF(A820="","",IFERROR(INDEX(Customers!$B$5:$B$204,MATCH(C820,Customers!$A$5:$A$204,0))&amp;"",""))</f>
        <v/>
      </c>
      <c r="U820" s="38" t="str">
        <f aca="false">IF(A820="","",IF(T820&lt;&gt;"","B2B",IF(AND(O820="Yes",SUMIF($A$5:$A$1004,A820,$L$5:$L$1004)+SUMIF($A$5:$A$1004,A820,$P$5:$P$1004)&gt;100000),"B2CL","B2CS")))</f>
        <v/>
      </c>
      <c r="V820" s="17" t="str">
        <f aca="false">IF(A820="","",TEXT(B820,"mmm-yyyy"))</f>
        <v/>
      </c>
    </row>
    <row r="821" customFormat="false" ht="15" hidden="false" customHeight="true" outlineLevel="0" collapsed="false">
      <c r="A821" s="24"/>
      <c r="B821" s="39"/>
      <c r="C821" s="24"/>
      <c r="D821" s="24"/>
      <c r="E821" s="40"/>
      <c r="F821" s="29"/>
      <c r="G821" s="30"/>
      <c r="H821" s="17" t="str">
        <f aca="false">IF(A821="","",A821&amp;"|"&amp;COUNTIF(A$5:A821,A821))</f>
        <v/>
      </c>
      <c r="I821" s="33" t="str">
        <f aca="false">IF(A821="","",IFERROR(INDEX(Items!$B$5:$B$304,MATCH(D821,Items!$A$5:$A$304,0))&amp;"",""))</f>
        <v/>
      </c>
      <c r="J821" s="34" t="str">
        <f aca="false">IF(A821="","",IFERROR(INDEX(Items!$C$5:$C$304,MATCH(D821,Items!$A$5:$A$304,0))&amp;"",""))</f>
        <v/>
      </c>
      <c r="K821" s="35" t="n">
        <f aca="false">IF(A821="",0,IF(ISNUMBER(F821),F821,IFERROR(INDEX(Items!$D$5:$D$304,MATCH(D821,Items!$A$5:$A$304,0)),0)))</f>
        <v>0</v>
      </c>
      <c r="L821" s="35" t="n">
        <f aca="false">ROUND(N(E821)*K821*(1-N(G821)),2)</f>
        <v>0</v>
      </c>
      <c r="M821" s="36" t="n">
        <f aca="false">IF(A821="",0,IFERROR(INDEX(Items!$E$5:$E$304,MATCH(D821,Items!$A$5:$A$304,0)),0))</f>
        <v>0</v>
      </c>
      <c r="N821" s="37" t="str">
        <f aca="false">IF(A821="","",IFERROR(INDEX(Customers!$E$5:$E$204,MATCH(C821,Customers!$A$5:$A$204,0)),"?"))</f>
        <v/>
      </c>
      <c r="O821" s="38" t="str">
        <f aca="false">IF(A821="","",IF(N821=Settings!$B$17,"No","Yes"))</f>
        <v/>
      </c>
      <c r="P821" s="35" t="n">
        <f aca="false">IF(O821="Yes",ROUND(L821*M821,2),0)</f>
        <v>0</v>
      </c>
      <c r="Q821" s="35" t="n">
        <f aca="false">IF(O821="No",ROUND(L821*M821/2,2),0)</f>
        <v>0</v>
      </c>
      <c r="R821" s="35" t="n">
        <f aca="false">Q821</f>
        <v>0</v>
      </c>
      <c r="S821" s="35" t="n">
        <f aca="false">L821+P821+Q821+R821</f>
        <v>0</v>
      </c>
      <c r="T821" s="34" t="str">
        <f aca="false">IF(A821="","",IFERROR(INDEX(Customers!$B$5:$B$204,MATCH(C821,Customers!$A$5:$A$204,0))&amp;"",""))</f>
        <v/>
      </c>
      <c r="U821" s="38" t="str">
        <f aca="false">IF(A821="","",IF(T821&lt;&gt;"","B2B",IF(AND(O821="Yes",SUMIF($A$5:$A$1004,A821,$L$5:$L$1004)+SUMIF($A$5:$A$1004,A821,$P$5:$P$1004)&gt;100000),"B2CL","B2CS")))</f>
        <v/>
      </c>
      <c r="V821" s="17" t="str">
        <f aca="false">IF(A821="","",TEXT(B821,"mmm-yyyy"))</f>
        <v/>
      </c>
    </row>
    <row r="822" customFormat="false" ht="15" hidden="false" customHeight="true" outlineLevel="0" collapsed="false">
      <c r="A822" s="24"/>
      <c r="B822" s="39"/>
      <c r="C822" s="24"/>
      <c r="D822" s="24"/>
      <c r="E822" s="40"/>
      <c r="F822" s="29"/>
      <c r="G822" s="30"/>
      <c r="H822" s="17" t="str">
        <f aca="false">IF(A822="","",A822&amp;"|"&amp;COUNTIF(A$5:A822,A822))</f>
        <v/>
      </c>
      <c r="I822" s="33" t="str">
        <f aca="false">IF(A822="","",IFERROR(INDEX(Items!$B$5:$B$304,MATCH(D822,Items!$A$5:$A$304,0))&amp;"",""))</f>
        <v/>
      </c>
      <c r="J822" s="34" t="str">
        <f aca="false">IF(A822="","",IFERROR(INDEX(Items!$C$5:$C$304,MATCH(D822,Items!$A$5:$A$304,0))&amp;"",""))</f>
        <v/>
      </c>
      <c r="K822" s="35" t="n">
        <f aca="false">IF(A822="",0,IF(ISNUMBER(F822),F822,IFERROR(INDEX(Items!$D$5:$D$304,MATCH(D822,Items!$A$5:$A$304,0)),0)))</f>
        <v>0</v>
      </c>
      <c r="L822" s="35" t="n">
        <f aca="false">ROUND(N(E822)*K822*(1-N(G822)),2)</f>
        <v>0</v>
      </c>
      <c r="M822" s="36" t="n">
        <f aca="false">IF(A822="",0,IFERROR(INDEX(Items!$E$5:$E$304,MATCH(D822,Items!$A$5:$A$304,0)),0))</f>
        <v>0</v>
      </c>
      <c r="N822" s="37" t="str">
        <f aca="false">IF(A822="","",IFERROR(INDEX(Customers!$E$5:$E$204,MATCH(C822,Customers!$A$5:$A$204,0)),"?"))</f>
        <v/>
      </c>
      <c r="O822" s="38" t="str">
        <f aca="false">IF(A822="","",IF(N822=Settings!$B$17,"No","Yes"))</f>
        <v/>
      </c>
      <c r="P822" s="35" t="n">
        <f aca="false">IF(O822="Yes",ROUND(L822*M822,2),0)</f>
        <v>0</v>
      </c>
      <c r="Q822" s="35" t="n">
        <f aca="false">IF(O822="No",ROUND(L822*M822/2,2),0)</f>
        <v>0</v>
      </c>
      <c r="R822" s="35" t="n">
        <f aca="false">Q822</f>
        <v>0</v>
      </c>
      <c r="S822" s="35" t="n">
        <f aca="false">L822+P822+Q822+R822</f>
        <v>0</v>
      </c>
      <c r="T822" s="34" t="str">
        <f aca="false">IF(A822="","",IFERROR(INDEX(Customers!$B$5:$B$204,MATCH(C822,Customers!$A$5:$A$204,0))&amp;"",""))</f>
        <v/>
      </c>
      <c r="U822" s="38" t="str">
        <f aca="false">IF(A822="","",IF(T822&lt;&gt;"","B2B",IF(AND(O822="Yes",SUMIF($A$5:$A$1004,A822,$L$5:$L$1004)+SUMIF($A$5:$A$1004,A822,$P$5:$P$1004)&gt;100000),"B2CL","B2CS")))</f>
        <v/>
      </c>
      <c r="V822" s="17" t="str">
        <f aca="false">IF(A822="","",TEXT(B822,"mmm-yyyy"))</f>
        <v/>
      </c>
    </row>
    <row r="823" customFormat="false" ht="15" hidden="false" customHeight="true" outlineLevel="0" collapsed="false">
      <c r="A823" s="24"/>
      <c r="B823" s="39"/>
      <c r="C823" s="24"/>
      <c r="D823" s="24"/>
      <c r="E823" s="40"/>
      <c r="F823" s="29"/>
      <c r="G823" s="30"/>
      <c r="H823" s="17" t="str">
        <f aca="false">IF(A823="","",A823&amp;"|"&amp;COUNTIF(A$5:A823,A823))</f>
        <v/>
      </c>
      <c r="I823" s="33" t="str">
        <f aca="false">IF(A823="","",IFERROR(INDEX(Items!$B$5:$B$304,MATCH(D823,Items!$A$5:$A$304,0))&amp;"",""))</f>
        <v/>
      </c>
      <c r="J823" s="34" t="str">
        <f aca="false">IF(A823="","",IFERROR(INDEX(Items!$C$5:$C$304,MATCH(D823,Items!$A$5:$A$304,0))&amp;"",""))</f>
        <v/>
      </c>
      <c r="K823" s="35" t="n">
        <f aca="false">IF(A823="",0,IF(ISNUMBER(F823),F823,IFERROR(INDEX(Items!$D$5:$D$304,MATCH(D823,Items!$A$5:$A$304,0)),0)))</f>
        <v>0</v>
      </c>
      <c r="L823" s="35" t="n">
        <f aca="false">ROUND(N(E823)*K823*(1-N(G823)),2)</f>
        <v>0</v>
      </c>
      <c r="M823" s="36" t="n">
        <f aca="false">IF(A823="",0,IFERROR(INDEX(Items!$E$5:$E$304,MATCH(D823,Items!$A$5:$A$304,0)),0))</f>
        <v>0</v>
      </c>
      <c r="N823" s="37" t="str">
        <f aca="false">IF(A823="","",IFERROR(INDEX(Customers!$E$5:$E$204,MATCH(C823,Customers!$A$5:$A$204,0)),"?"))</f>
        <v/>
      </c>
      <c r="O823" s="38" t="str">
        <f aca="false">IF(A823="","",IF(N823=Settings!$B$17,"No","Yes"))</f>
        <v/>
      </c>
      <c r="P823" s="35" t="n">
        <f aca="false">IF(O823="Yes",ROUND(L823*M823,2),0)</f>
        <v>0</v>
      </c>
      <c r="Q823" s="35" t="n">
        <f aca="false">IF(O823="No",ROUND(L823*M823/2,2),0)</f>
        <v>0</v>
      </c>
      <c r="R823" s="35" t="n">
        <f aca="false">Q823</f>
        <v>0</v>
      </c>
      <c r="S823" s="35" t="n">
        <f aca="false">L823+P823+Q823+R823</f>
        <v>0</v>
      </c>
      <c r="T823" s="34" t="str">
        <f aca="false">IF(A823="","",IFERROR(INDEX(Customers!$B$5:$B$204,MATCH(C823,Customers!$A$5:$A$204,0))&amp;"",""))</f>
        <v/>
      </c>
      <c r="U823" s="38" t="str">
        <f aca="false">IF(A823="","",IF(T823&lt;&gt;"","B2B",IF(AND(O823="Yes",SUMIF($A$5:$A$1004,A823,$L$5:$L$1004)+SUMIF($A$5:$A$1004,A823,$P$5:$P$1004)&gt;100000),"B2CL","B2CS")))</f>
        <v/>
      </c>
      <c r="V823" s="17" t="str">
        <f aca="false">IF(A823="","",TEXT(B823,"mmm-yyyy"))</f>
        <v/>
      </c>
    </row>
    <row r="824" customFormat="false" ht="15" hidden="false" customHeight="true" outlineLevel="0" collapsed="false">
      <c r="A824" s="24"/>
      <c r="B824" s="39"/>
      <c r="C824" s="24"/>
      <c r="D824" s="24"/>
      <c r="E824" s="40"/>
      <c r="F824" s="29"/>
      <c r="G824" s="30"/>
      <c r="H824" s="17" t="str">
        <f aca="false">IF(A824="","",A824&amp;"|"&amp;COUNTIF(A$5:A824,A824))</f>
        <v/>
      </c>
      <c r="I824" s="33" t="str">
        <f aca="false">IF(A824="","",IFERROR(INDEX(Items!$B$5:$B$304,MATCH(D824,Items!$A$5:$A$304,0))&amp;"",""))</f>
        <v/>
      </c>
      <c r="J824" s="34" t="str">
        <f aca="false">IF(A824="","",IFERROR(INDEX(Items!$C$5:$C$304,MATCH(D824,Items!$A$5:$A$304,0))&amp;"",""))</f>
        <v/>
      </c>
      <c r="K824" s="35" t="n">
        <f aca="false">IF(A824="",0,IF(ISNUMBER(F824),F824,IFERROR(INDEX(Items!$D$5:$D$304,MATCH(D824,Items!$A$5:$A$304,0)),0)))</f>
        <v>0</v>
      </c>
      <c r="L824" s="35" t="n">
        <f aca="false">ROUND(N(E824)*K824*(1-N(G824)),2)</f>
        <v>0</v>
      </c>
      <c r="M824" s="36" t="n">
        <f aca="false">IF(A824="",0,IFERROR(INDEX(Items!$E$5:$E$304,MATCH(D824,Items!$A$5:$A$304,0)),0))</f>
        <v>0</v>
      </c>
      <c r="N824" s="37" t="str">
        <f aca="false">IF(A824="","",IFERROR(INDEX(Customers!$E$5:$E$204,MATCH(C824,Customers!$A$5:$A$204,0)),"?"))</f>
        <v/>
      </c>
      <c r="O824" s="38" t="str">
        <f aca="false">IF(A824="","",IF(N824=Settings!$B$17,"No","Yes"))</f>
        <v/>
      </c>
      <c r="P824" s="35" t="n">
        <f aca="false">IF(O824="Yes",ROUND(L824*M824,2),0)</f>
        <v>0</v>
      </c>
      <c r="Q824" s="35" t="n">
        <f aca="false">IF(O824="No",ROUND(L824*M824/2,2),0)</f>
        <v>0</v>
      </c>
      <c r="R824" s="35" t="n">
        <f aca="false">Q824</f>
        <v>0</v>
      </c>
      <c r="S824" s="35" t="n">
        <f aca="false">L824+P824+Q824+R824</f>
        <v>0</v>
      </c>
      <c r="T824" s="34" t="str">
        <f aca="false">IF(A824="","",IFERROR(INDEX(Customers!$B$5:$B$204,MATCH(C824,Customers!$A$5:$A$204,0))&amp;"",""))</f>
        <v/>
      </c>
      <c r="U824" s="38" t="str">
        <f aca="false">IF(A824="","",IF(T824&lt;&gt;"","B2B",IF(AND(O824="Yes",SUMIF($A$5:$A$1004,A824,$L$5:$L$1004)+SUMIF($A$5:$A$1004,A824,$P$5:$P$1004)&gt;100000),"B2CL","B2CS")))</f>
        <v/>
      </c>
      <c r="V824" s="17" t="str">
        <f aca="false">IF(A824="","",TEXT(B824,"mmm-yyyy"))</f>
        <v/>
      </c>
    </row>
    <row r="825" customFormat="false" ht="15" hidden="false" customHeight="true" outlineLevel="0" collapsed="false">
      <c r="A825" s="24"/>
      <c r="B825" s="39"/>
      <c r="C825" s="24"/>
      <c r="D825" s="24"/>
      <c r="E825" s="40"/>
      <c r="F825" s="29"/>
      <c r="G825" s="30"/>
      <c r="H825" s="17" t="str">
        <f aca="false">IF(A825="","",A825&amp;"|"&amp;COUNTIF(A$5:A825,A825))</f>
        <v/>
      </c>
      <c r="I825" s="33" t="str">
        <f aca="false">IF(A825="","",IFERROR(INDEX(Items!$B$5:$B$304,MATCH(D825,Items!$A$5:$A$304,0))&amp;"",""))</f>
        <v/>
      </c>
      <c r="J825" s="34" t="str">
        <f aca="false">IF(A825="","",IFERROR(INDEX(Items!$C$5:$C$304,MATCH(D825,Items!$A$5:$A$304,0))&amp;"",""))</f>
        <v/>
      </c>
      <c r="K825" s="35" t="n">
        <f aca="false">IF(A825="",0,IF(ISNUMBER(F825),F825,IFERROR(INDEX(Items!$D$5:$D$304,MATCH(D825,Items!$A$5:$A$304,0)),0)))</f>
        <v>0</v>
      </c>
      <c r="L825" s="35" t="n">
        <f aca="false">ROUND(N(E825)*K825*(1-N(G825)),2)</f>
        <v>0</v>
      </c>
      <c r="M825" s="36" t="n">
        <f aca="false">IF(A825="",0,IFERROR(INDEX(Items!$E$5:$E$304,MATCH(D825,Items!$A$5:$A$304,0)),0))</f>
        <v>0</v>
      </c>
      <c r="N825" s="37" t="str">
        <f aca="false">IF(A825="","",IFERROR(INDEX(Customers!$E$5:$E$204,MATCH(C825,Customers!$A$5:$A$204,0)),"?"))</f>
        <v/>
      </c>
      <c r="O825" s="38" t="str">
        <f aca="false">IF(A825="","",IF(N825=Settings!$B$17,"No","Yes"))</f>
        <v/>
      </c>
      <c r="P825" s="35" t="n">
        <f aca="false">IF(O825="Yes",ROUND(L825*M825,2),0)</f>
        <v>0</v>
      </c>
      <c r="Q825" s="35" t="n">
        <f aca="false">IF(O825="No",ROUND(L825*M825/2,2),0)</f>
        <v>0</v>
      </c>
      <c r="R825" s="35" t="n">
        <f aca="false">Q825</f>
        <v>0</v>
      </c>
      <c r="S825" s="35" t="n">
        <f aca="false">L825+P825+Q825+R825</f>
        <v>0</v>
      </c>
      <c r="T825" s="34" t="str">
        <f aca="false">IF(A825="","",IFERROR(INDEX(Customers!$B$5:$B$204,MATCH(C825,Customers!$A$5:$A$204,0))&amp;"",""))</f>
        <v/>
      </c>
      <c r="U825" s="38" t="str">
        <f aca="false">IF(A825="","",IF(T825&lt;&gt;"","B2B",IF(AND(O825="Yes",SUMIF($A$5:$A$1004,A825,$L$5:$L$1004)+SUMIF($A$5:$A$1004,A825,$P$5:$P$1004)&gt;100000),"B2CL","B2CS")))</f>
        <v/>
      </c>
      <c r="V825" s="17" t="str">
        <f aca="false">IF(A825="","",TEXT(B825,"mmm-yyyy"))</f>
        <v/>
      </c>
    </row>
    <row r="826" customFormat="false" ht="15" hidden="false" customHeight="true" outlineLevel="0" collapsed="false">
      <c r="A826" s="24"/>
      <c r="B826" s="39"/>
      <c r="C826" s="24"/>
      <c r="D826" s="24"/>
      <c r="E826" s="40"/>
      <c r="F826" s="29"/>
      <c r="G826" s="30"/>
      <c r="H826" s="17" t="str">
        <f aca="false">IF(A826="","",A826&amp;"|"&amp;COUNTIF(A$5:A826,A826))</f>
        <v/>
      </c>
      <c r="I826" s="33" t="str">
        <f aca="false">IF(A826="","",IFERROR(INDEX(Items!$B$5:$B$304,MATCH(D826,Items!$A$5:$A$304,0))&amp;"",""))</f>
        <v/>
      </c>
      <c r="J826" s="34" t="str">
        <f aca="false">IF(A826="","",IFERROR(INDEX(Items!$C$5:$C$304,MATCH(D826,Items!$A$5:$A$304,0))&amp;"",""))</f>
        <v/>
      </c>
      <c r="K826" s="35" t="n">
        <f aca="false">IF(A826="",0,IF(ISNUMBER(F826),F826,IFERROR(INDEX(Items!$D$5:$D$304,MATCH(D826,Items!$A$5:$A$304,0)),0)))</f>
        <v>0</v>
      </c>
      <c r="L826" s="35" t="n">
        <f aca="false">ROUND(N(E826)*K826*(1-N(G826)),2)</f>
        <v>0</v>
      </c>
      <c r="M826" s="36" t="n">
        <f aca="false">IF(A826="",0,IFERROR(INDEX(Items!$E$5:$E$304,MATCH(D826,Items!$A$5:$A$304,0)),0))</f>
        <v>0</v>
      </c>
      <c r="N826" s="37" t="str">
        <f aca="false">IF(A826="","",IFERROR(INDEX(Customers!$E$5:$E$204,MATCH(C826,Customers!$A$5:$A$204,0)),"?"))</f>
        <v/>
      </c>
      <c r="O826" s="38" t="str">
        <f aca="false">IF(A826="","",IF(N826=Settings!$B$17,"No","Yes"))</f>
        <v/>
      </c>
      <c r="P826" s="35" t="n">
        <f aca="false">IF(O826="Yes",ROUND(L826*M826,2),0)</f>
        <v>0</v>
      </c>
      <c r="Q826" s="35" t="n">
        <f aca="false">IF(O826="No",ROUND(L826*M826/2,2),0)</f>
        <v>0</v>
      </c>
      <c r="R826" s="35" t="n">
        <f aca="false">Q826</f>
        <v>0</v>
      </c>
      <c r="S826" s="35" t="n">
        <f aca="false">L826+P826+Q826+R826</f>
        <v>0</v>
      </c>
      <c r="T826" s="34" t="str">
        <f aca="false">IF(A826="","",IFERROR(INDEX(Customers!$B$5:$B$204,MATCH(C826,Customers!$A$5:$A$204,0))&amp;"",""))</f>
        <v/>
      </c>
      <c r="U826" s="38" t="str">
        <f aca="false">IF(A826="","",IF(T826&lt;&gt;"","B2B",IF(AND(O826="Yes",SUMIF($A$5:$A$1004,A826,$L$5:$L$1004)+SUMIF($A$5:$A$1004,A826,$P$5:$P$1004)&gt;100000),"B2CL","B2CS")))</f>
        <v/>
      </c>
      <c r="V826" s="17" t="str">
        <f aca="false">IF(A826="","",TEXT(B826,"mmm-yyyy"))</f>
        <v/>
      </c>
    </row>
    <row r="827" customFormat="false" ht="15" hidden="false" customHeight="true" outlineLevel="0" collapsed="false">
      <c r="A827" s="24"/>
      <c r="B827" s="39"/>
      <c r="C827" s="24"/>
      <c r="D827" s="24"/>
      <c r="E827" s="40"/>
      <c r="F827" s="29"/>
      <c r="G827" s="30"/>
      <c r="H827" s="17" t="str">
        <f aca="false">IF(A827="","",A827&amp;"|"&amp;COUNTIF(A$5:A827,A827))</f>
        <v/>
      </c>
      <c r="I827" s="33" t="str">
        <f aca="false">IF(A827="","",IFERROR(INDEX(Items!$B$5:$B$304,MATCH(D827,Items!$A$5:$A$304,0))&amp;"",""))</f>
        <v/>
      </c>
      <c r="J827" s="34" t="str">
        <f aca="false">IF(A827="","",IFERROR(INDEX(Items!$C$5:$C$304,MATCH(D827,Items!$A$5:$A$304,0))&amp;"",""))</f>
        <v/>
      </c>
      <c r="K827" s="35" t="n">
        <f aca="false">IF(A827="",0,IF(ISNUMBER(F827),F827,IFERROR(INDEX(Items!$D$5:$D$304,MATCH(D827,Items!$A$5:$A$304,0)),0)))</f>
        <v>0</v>
      </c>
      <c r="L827" s="35" t="n">
        <f aca="false">ROUND(N(E827)*K827*(1-N(G827)),2)</f>
        <v>0</v>
      </c>
      <c r="M827" s="36" t="n">
        <f aca="false">IF(A827="",0,IFERROR(INDEX(Items!$E$5:$E$304,MATCH(D827,Items!$A$5:$A$304,0)),0))</f>
        <v>0</v>
      </c>
      <c r="N827" s="37" t="str">
        <f aca="false">IF(A827="","",IFERROR(INDEX(Customers!$E$5:$E$204,MATCH(C827,Customers!$A$5:$A$204,0)),"?"))</f>
        <v/>
      </c>
      <c r="O827" s="38" t="str">
        <f aca="false">IF(A827="","",IF(N827=Settings!$B$17,"No","Yes"))</f>
        <v/>
      </c>
      <c r="P827" s="35" t="n">
        <f aca="false">IF(O827="Yes",ROUND(L827*M827,2),0)</f>
        <v>0</v>
      </c>
      <c r="Q827" s="35" t="n">
        <f aca="false">IF(O827="No",ROUND(L827*M827/2,2),0)</f>
        <v>0</v>
      </c>
      <c r="R827" s="35" t="n">
        <f aca="false">Q827</f>
        <v>0</v>
      </c>
      <c r="S827" s="35" t="n">
        <f aca="false">L827+P827+Q827+R827</f>
        <v>0</v>
      </c>
      <c r="T827" s="34" t="str">
        <f aca="false">IF(A827="","",IFERROR(INDEX(Customers!$B$5:$B$204,MATCH(C827,Customers!$A$5:$A$204,0))&amp;"",""))</f>
        <v/>
      </c>
      <c r="U827" s="38" t="str">
        <f aca="false">IF(A827="","",IF(T827&lt;&gt;"","B2B",IF(AND(O827="Yes",SUMIF($A$5:$A$1004,A827,$L$5:$L$1004)+SUMIF($A$5:$A$1004,A827,$P$5:$P$1004)&gt;100000),"B2CL","B2CS")))</f>
        <v/>
      </c>
      <c r="V827" s="17" t="str">
        <f aca="false">IF(A827="","",TEXT(B827,"mmm-yyyy"))</f>
        <v/>
      </c>
    </row>
    <row r="828" customFormat="false" ht="15" hidden="false" customHeight="true" outlineLevel="0" collapsed="false">
      <c r="A828" s="24"/>
      <c r="B828" s="39"/>
      <c r="C828" s="24"/>
      <c r="D828" s="24"/>
      <c r="E828" s="40"/>
      <c r="F828" s="29"/>
      <c r="G828" s="30"/>
      <c r="H828" s="17" t="str">
        <f aca="false">IF(A828="","",A828&amp;"|"&amp;COUNTIF(A$5:A828,A828))</f>
        <v/>
      </c>
      <c r="I828" s="33" t="str">
        <f aca="false">IF(A828="","",IFERROR(INDEX(Items!$B$5:$B$304,MATCH(D828,Items!$A$5:$A$304,0))&amp;"",""))</f>
        <v/>
      </c>
      <c r="J828" s="34" t="str">
        <f aca="false">IF(A828="","",IFERROR(INDEX(Items!$C$5:$C$304,MATCH(D828,Items!$A$5:$A$304,0))&amp;"",""))</f>
        <v/>
      </c>
      <c r="K828" s="35" t="n">
        <f aca="false">IF(A828="",0,IF(ISNUMBER(F828),F828,IFERROR(INDEX(Items!$D$5:$D$304,MATCH(D828,Items!$A$5:$A$304,0)),0)))</f>
        <v>0</v>
      </c>
      <c r="L828" s="35" t="n">
        <f aca="false">ROUND(N(E828)*K828*(1-N(G828)),2)</f>
        <v>0</v>
      </c>
      <c r="M828" s="36" t="n">
        <f aca="false">IF(A828="",0,IFERROR(INDEX(Items!$E$5:$E$304,MATCH(D828,Items!$A$5:$A$304,0)),0))</f>
        <v>0</v>
      </c>
      <c r="N828" s="37" t="str">
        <f aca="false">IF(A828="","",IFERROR(INDEX(Customers!$E$5:$E$204,MATCH(C828,Customers!$A$5:$A$204,0)),"?"))</f>
        <v/>
      </c>
      <c r="O828" s="38" t="str">
        <f aca="false">IF(A828="","",IF(N828=Settings!$B$17,"No","Yes"))</f>
        <v/>
      </c>
      <c r="P828" s="35" t="n">
        <f aca="false">IF(O828="Yes",ROUND(L828*M828,2),0)</f>
        <v>0</v>
      </c>
      <c r="Q828" s="35" t="n">
        <f aca="false">IF(O828="No",ROUND(L828*M828/2,2),0)</f>
        <v>0</v>
      </c>
      <c r="R828" s="35" t="n">
        <f aca="false">Q828</f>
        <v>0</v>
      </c>
      <c r="S828" s="35" t="n">
        <f aca="false">L828+P828+Q828+R828</f>
        <v>0</v>
      </c>
      <c r="T828" s="34" t="str">
        <f aca="false">IF(A828="","",IFERROR(INDEX(Customers!$B$5:$B$204,MATCH(C828,Customers!$A$5:$A$204,0))&amp;"",""))</f>
        <v/>
      </c>
      <c r="U828" s="38" t="str">
        <f aca="false">IF(A828="","",IF(T828&lt;&gt;"","B2B",IF(AND(O828="Yes",SUMIF($A$5:$A$1004,A828,$L$5:$L$1004)+SUMIF($A$5:$A$1004,A828,$P$5:$P$1004)&gt;100000),"B2CL","B2CS")))</f>
        <v/>
      </c>
      <c r="V828" s="17" t="str">
        <f aca="false">IF(A828="","",TEXT(B828,"mmm-yyyy"))</f>
        <v/>
      </c>
    </row>
    <row r="829" customFormat="false" ht="15" hidden="false" customHeight="true" outlineLevel="0" collapsed="false">
      <c r="A829" s="24"/>
      <c r="B829" s="39"/>
      <c r="C829" s="24"/>
      <c r="D829" s="24"/>
      <c r="E829" s="40"/>
      <c r="F829" s="29"/>
      <c r="G829" s="30"/>
      <c r="H829" s="17" t="str">
        <f aca="false">IF(A829="","",A829&amp;"|"&amp;COUNTIF(A$5:A829,A829))</f>
        <v/>
      </c>
      <c r="I829" s="33" t="str">
        <f aca="false">IF(A829="","",IFERROR(INDEX(Items!$B$5:$B$304,MATCH(D829,Items!$A$5:$A$304,0))&amp;"",""))</f>
        <v/>
      </c>
      <c r="J829" s="34" t="str">
        <f aca="false">IF(A829="","",IFERROR(INDEX(Items!$C$5:$C$304,MATCH(D829,Items!$A$5:$A$304,0))&amp;"",""))</f>
        <v/>
      </c>
      <c r="K829" s="35" t="n">
        <f aca="false">IF(A829="",0,IF(ISNUMBER(F829),F829,IFERROR(INDEX(Items!$D$5:$D$304,MATCH(D829,Items!$A$5:$A$304,0)),0)))</f>
        <v>0</v>
      </c>
      <c r="L829" s="35" t="n">
        <f aca="false">ROUND(N(E829)*K829*(1-N(G829)),2)</f>
        <v>0</v>
      </c>
      <c r="M829" s="36" t="n">
        <f aca="false">IF(A829="",0,IFERROR(INDEX(Items!$E$5:$E$304,MATCH(D829,Items!$A$5:$A$304,0)),0))</f>
        <v>0</v>
      </c>
      <c r="N829" s="37" t="str">
        <f aca="false">IF(A829="","",IFERROR(INDEX(Customers!$E$5:$E$204,MATCH(C829,Customers!$A$5:$A$204,0)),"?"))</f>
        <v/>
      </c>
      <c r="O829" s="38" t="str">
        <f aca="false">IF(A829="","",IF(N829=Settings!$B$17,"No","Yes"))</f>
        <v/>
      </c>
      <c r="P829" s="35" t="n">
        <f aca="false">IF(O829="Yes",ROUND(L829*M829,2),0)</f>
        <v>0</v>
      </c>
      <c r="Q829" s="35" t="n">
        <f aca="false">IF(O829="No",ROUND(L829*M829/2,2),0)</f>
        <v>0</v>
      </c>
      <c r="R829" s="35" t="n">
        <f aca="false">Q829</f>
        <v>0</v>
      </c>
      <c r="S829" s="35" t="n">
        <f aca="false">L829+P829+Q829+R829</f>
        <v>0</v>
      </c>
      <c r="T829" s="34" t="str">
        <f aca="false">IF(A829="","",IFERROR(INDEX(Customers!$B$5:$B$204,MATCH(C829,Customers!$A$5:$A$204,0))&amp;"",""))</f>
        <v/>
      </c>
      <c r="U829" s="38" t="str">
        <f aca="false">IF(A829="","",IF(T829&lt;&gt;"","B2B",IF(AND(O829="Yes",SUMIF($A$5:$A$1004,A829,$L$5:$L$1004)+SUMIF($A$5:$A$1004,A829,$P$5:$P$1004)&gt;100000),"B2CL","B2CS")))</f>
        <v/>
      </c>
      <c r="V829" s="17" t="str">
        <f aca="false">IF(A829="","",TEXT(B829,"mmm-yyyy"))</f>
        <v/>
      </c>
    </row>
    <row r="830" customFormat="false" ht="15" hidden="false" customHeight="true" outlineLevel="0" collapsed="false">
      <c r="A830" s="24"/>
      <c r="B830" s="39"/>
      <c r="C830" s="24"/>
      <c r="D830" s="24"/>
      <c r="E830" s="40"/>
      <c r="F830" s="29"/>
      <c r="G830" s="30"/>
      <c r="H830" s="17" t="str">
        <f aca="false">IF(A830="","",A830&amp;"|"&amp;COUNTIF(A$5:A830,A830))</f>
        <v/>
      </c>
      <c r="I830" s="33" t="str">
        <f aca="false">IF(A830="","",IFERROR(INDEX(Items!$B$5:$B$304,MATCH(D830,Items!$A$5:$A$304,0))&amp;"",""))</f>
        <v/>
      </c>
      <c r="J830" s="34" t="str">
        <f aca="false">IF(A830="","",IFERROR(INDEX(Items!$C$5:$C$304,MATCH(D830,Items!$A$5:$A$304,0))&amp;"",""))</f>
        <v/>
      </c>
      <c r="K830" s="35" t="n">
        <f aca="false">IF(A830="",0,IF(ISNUMBER(F830),F830,IFERROR(INDEX(Items!$D$5:$D$304,MATCH(D830,Items!$A$5:$A$304,0)),0)))</f>
        <v>0</v>
      </c>
      <c r="L830" s="35" t="n">
        <f aca="false">ROUND(N(E830)*K830*(1-N(G830)),2)</f>
        <v>0</v>
      </c>
      <c r="M830" s="36" t="n">
        <f aca="false">IF(A830="",0,IFERROR(INDEX(Items!$E$5:$E$304,MATCH(D830,Items!$A$5:$A$304,0)),0))</f>
        <v>0</v>
      </c>
      <c r="N830" s="37" t="str">
        <f aca="false">IF(A830="","",IFERROR(INDEX(Customers!$E$5:$E$204,MATCH(C830,Customers!$A$5:$A$204,0)),"?"))</f>
        <v/>
      </c>
      <c r="O830" s="38" t="str">
        <f aca="false">IF(A830="","",IF(N830=Settings!$B$17,"No","Yes"))</f>
        <v/>
      </c>
      <c r="P830" s="35" t="n">
        <f aca="false">IF(O830="Yes",ROUND(L830*M830,2),0)</f>
        <v>0</v>
      </c>
      <c r="Q830" s="35" t="n">
        <f aca="false">IF(O830="No",ROUND(L830*M830/2,2),0)</f>
        <v>0</v>
      </c>
      <c r="R830" s="35" t="n">
        <f aca="false">Q830</f>
        <v>0</v>
      </c>
      <c r="S830" s="35" t="n">
        <f aca="false">L830+P830+Q830+R830</f>
        <v>0</v>
      </c>
      <c r="T830" s="34" t="str">
        <f aca="false">IF(A830="","",IFERROR(INDEX(Customers!$B$5:$B$204,MATCH(C830,Customers!$A$5:$A$204,0))&amp;"",""))</f>
        <v/>
      </c>
      <c r="U830" s="38" t="str">
        <f aca="false">IF(A830="","",IF(T830&lt;&gt;"","B2B",IF(AND(O830="Yes",SUMIF($A$5:$A$1004,A830,$L$5:$L$1004)+SUMIF($A$5:$A$1004,A830,$P$5:$P$1004)&gt;100000),"B2CL","B2CS")))</f>
        <v/>
      </c>
      <c r="V830" s="17" t="str">
        <f aca="false">IF(A830="","",TEXT(B830,"mmm-yyyy"))</f>
        <v/>
      </c>
    </row>
    <row r="831" customFormat="false" ht="15" hidden="false" customHeight="true" outlineLevel="0" collapsed="false">
      <c r="A831" s="24"/>
      <c r="B831" s="39"/>
      <c r="C831" s="24"/>
      <c r="D831" s="24"/>
      <c r="E831" s="40"/>
      <c r="F831" s="29"/>
      <c r="G831" s="30"/>
      <c r="H831" s="17" t="str">
        <f aca="false">IF(A831="","",A831&amp;"|"&amp;COUNTIF(A$5:A831,A831))</f>
        <v/>
      </c>
      <c r="I831" s="33" t="str">
        <f aca="false">IF(A831="","",IFERROR(INDEX(Items!$B$5:$B$304,MATCH(D831,Items!$A$5:$A$304,0))&amp;"",""))</f>
        <v/>
      </c>
      <c r="J831" s="34" t="str">
        <f aca="false">IF(A831="","",IFERROR(INDEX(Items!$C$5:$C$304,MATCH(D831,Items!$A$5:$A$304,0))&amp;"",""))</f>
        <v/>
      </c>
      <c r="K831" s="35" t="n">
        <f aca="false">IF(A831="",0,IF(ISNUMBER(F831),F831,IFERROR(INDEX(Items!$D$5:$D$304,MATCH(D831,Items!$A$5:$A$304,0)),0)))</f>
        <v>0</v>
      </c>
      <c r="L831" s="35" t="n">
        <f aca="false">ROUND(N(E831)*K831*(1-N(G831)),2)</f>
        <v>0</v>
      </c>
      <c r="M831" s="36" t="n">
        <f aca="false">IF(A831="",0,IFERROR(INDEX(Items!$E$5:$E$304,MATCH(D831,Items!$A$5:$A$304,0)),0))</f>
        <v>0</v>
      </c>
      <c r="N831" s="37" t="str">
        <f aca="false">IF(A831="","",IFERROR(INDEX(Customers!$E$5:$E$204,MATCH(C831,Customers!$A$5:$A$204,0)),"?"))</f>
        <v/>
      </c>
      <c r="O831" s="38" t="str">
        <f aca="false">IF(A831="","",IF(N831=Settings!$B$17,"No","Yes"))</f>
        <v/>
      </c>
      <c r="P831" s="35" t="n">
        <f aca="false">IF(O831="Yes",ROUND(L831*M831,2),0)</f>
        <v>0</v>
      </c>
      <c r="Q831" s="35" t="n">
        <f aca="false">IF(O831="No",ROUND(L831*M831/2,2),0)</f>
        <v>0</v>
      </c>
      <c r="R831" s="35" t="n">
        <f aca="false">Q831</f>
        <v>0</v>
      </c>
      <c r="S831" s="35" t="n">
        <f aca="false">L831+P831+Q831+R831</f>
        <v>0</v>
      </c>
      <c r="T831" s="34" t="str">
        <f aca="false">IF(A831="","",IFERROR(INDEX(Customers!$B$5:$B$204,MATCH(C831,Customers!$A$5:$A$204,0))&amp;"",""))</f>
        <v/>
      </c>
      <c r="U831" s="38" t="str">
        <f aca="false">IF(A831="","",IF(T831&lt;&gt;"","B2B",IF(AND(O831="Yes",SUMIF($A$5:$A$1004,A831,$L$5:$L$1004)+SUMIF($A$5:$A$1004,A831,$P$5:$P$1004)&gt;100000),"B2CL","B2CS")))</f>
        <v/>
      </c>
      <c r="V831" s="17" t="str">
        <f aca="false">IF(A831="","",TEXT(B831,"mmm-yyyy"))</f>
        <v/>
      </c>
    </row>
    <row r="832" customFormat="false" ht="15" hidden="false" customHeight="true" outlineLevel="0" collapsed="false">
      <c r="A832" s="24"/>
      <c r="B832" s="39"/>
      <c r="C832" s="24"/>
      <c r="D832" s="24"/>
      <c r="E832" s="40"/>
      <c r="F832" s="29"/>
      <c r="G832" s="30"/>
      <c r="H832" s="17" t="str">
        <f aca="false">IF(A832="","",A832&amp;"|"&amp;COUNTIF(A$5:A832,A832))</f>
        <v/>
      </c>
      <c r="I832" s="33" t="str">
        <f aca="false">IF(A832="","",IFERROR(INDEX(Items!$B$5:$B$304,MATCH(D832,Items!$A$5:$A$304,0))&amp;"",""))</f>
        <v/>
      </c>
      <c r="J832" s="34" t="str">
        <f aca="false">IF(A832="","",IFERROR(INDEX(Items!$C$5:$C$304,MATCH(D832,Items!$A$5:$A$304,0))&amp;"",""))</f>
        <v/>
      </c>
      <c r="K832" s="35" t="n">
        <f aca="false">IF(A832="",0,IF(ISNUMBER(F832),F832,IFERROR(INDEX(Items!$D$5:$D$304,MATCH(D832,Items!$A$5:$A$304,0)),0)))</f>
        <v>0</v>
      </c>
      <c r="L832" s="35" t="n">
        <f aca="false">ROUND(N(E832)*K832*(1-N(G832)),2)</f>
        <v>0</v>
      </c>
      <c r="M832" s="36" t="n">
        <f aca="false">IF(A832="",0,IFERROR(INDEX(Items!$E$5:$E$304,MATCH(D832,Items!$A$5:$A$304,0)),0))</f>
        <v>0</v>
      </c>
      <c r="N832" s="37" t="str">
        <f aca="false">IF(A832="","",IFERROR(INDEX(Customers!$E$5:$E$204,MATCH(C832,Customers!$A$5:$A$204,0)),"?"))</f>
        <v/>
      </c>
      <c r="O832" s="38" t="str">
        <f aca="false">IF(A832="","",IF(N832=Settings!$B$17,"No","Yes"))</f>
        <v/>
      </c>
      <c r="P832" s="35" t="n">
        <f aca="false">IF(O832="Yes",ROUND(L832*M832,2),0)</f>
        <v>0</v>
      </c>
      <c r="Q832" s="35" t="n">
        <f aca="false">IF(O832="No",ROUND(L832*M832/2,2),0)</f>
        <v>0</v>
      </c>
      <c r="R832" s="35" t="n">
        <f aca="false">Q832</f>
        <v>0</v>
      </c>
      <c r="S832" s="35" t="n">
        <f aca="false">L832+P832+Q832+R832</f>
        <v>0</v>
      </c>
      <c r="T832" s="34" t="str">
        <f aca="false">IF(A832="","",IFERROR(INDEX(Customers!$B$5:$B$204,MATCH(C832,Customers!$A$5:$A$204,0))&amp;"",""))</f>
        <v/>
      </c>
      <c r="U832" s="38" t="str">
        <f aca="false">IF(A832="","",IF(T832&lt;&gt;"","B2B",IF(AND(O832="Yes",SUMIF($A$5:$A$1004,A832,$L$5:$L$1004)+SUMIF($A$5:$A$1004,A832,$P$5:$P$1004)&gt;100000),"B2CL","B2CS")))</f>
        <v/>
      </c>
      <c r="V832" s="17" t="str">
        <f aca="false">IF(A832="","",TEXT(B832,"mmm-yyyy"))</f>
        <v/>
      </c>
    </row>
    <row r="833" customFormat="false" ht="15" hidden="false" customHeight="true" outlineLevel="0" collapsed="false">
      <c r="A833" s="24"/>
      <c r="B833" s="39"/>
      <c r="C833" s="24"/>
      <c r="D833" s="24"/>
      <c r="E833" s="40"/>
      <c r="F833" s="29"/>
      <c r="G833" s="30"/>
      <c r="H833" s="17" t="str">
        <f aca="false">IF(A833="","",A833&amp;"|"&amp;COUNTIF(A$5:A833,A833))</f>
        <v/>
      </c>
      <c r="I833" s="33" t="str">
        <f aca="false">IF(A833="","",IFERROR(INDEX(Items!$B$5:$B$304,MATCH(D833,Items!$A$5:$A$304,0))&amp;"",""))</f>
        <v/>
      </c>
      <c r="J833" s="34" t="str">
        <f aca="false">IF(A833="","",IFERROR(INDEX(Items!$C$5:$C$304,MATCH(D833,Items!$A$5:$A$304,0))&amp;"",""))</f>
        <v/>
      </c>
      <c r="K833" s="35" t="n">
        <f aca="false">IF(A833="",0,IF(ISNUMBER(F833),F833,IFERROR(INDEX(Items!$D$5:$D$304,MATCH(D833,Items!$A$5:$A$304,0)),0)))</f>
        <v>0</v>
      </c>
      <c r="L833" s="35" t="n">
        <f aca="false">ROUND(N(E833)*K833*(1-N(G833)),2)</f>
        <v>0</v>
      </c>
      <c r="M833" s="36" t="n">
        <f aca="false">IF(A833="",0,IFERROR(INDEX(Items!$E$5:$E$304,MATCH(D833,Items!$A$5:$A$304,0)),0))</f>
        <v>0</v>
      </c>
      <c r="N833" s="37" t="str">
        <f aca="false">IF(A833="","",IFERROR(INDEX(Customers!$E$5:$E$204,MATCH(C833,Customers!$A$5:$A$204,0)),"?"))</f>
        <v/>
      </c>
      <c r="O833" s="38" t="str">
        <f aca="false">IF(A833="","",IF(N833=Settings!$B$17,"No","Yes"))</f>
        <v/>
      </c>
      <c r="P833" s="35" t="n">
        <f aca="false">IF(O833="Yes",ROUND(L833*M833,2),0)</f>
        <v>0</v>
      </c>
      <c r="Q833" s="35" t="n">
        <f aca="false">IF(O833="No",ROUND(L833*M833/2,2),0)</f>
        <v>0</v>
      </c>
      <c r="R833" s="35" t="n">
        <f aca="false">Q833</f>
        <v>0</v>
      </c>
      <c r="S833" s="35" t="n">
        <f aca="false">L833+P833+Q833+R833</f>
        <v>0</v>
      </c>
      <c r="T833" s="34" t="str">
        <f aca="false">IF(A833="","",IFERROR(INDEX(Customers!$B$5:$B$204,MATCH(C833,Customers!$A$5:$A$204,0))&amp;"",""))</f>
        <v/>
      </c>
      <c r="U833" s="38" t="str">
        <f aca="false">IF(A833="","",IF(T833&lt;&gt;"","B2B",IF(AND(O833="Yes",SUMIF($A$5:$A$1004,A833,$L$5:$L$1004)+SUMIF($A$5:$A$1004,A833,$P$5:$P$1004)&gt;100000),"B2CL","B2CS")))</f>
        <v/>
      </c>
      <c r="V833" s="17" t="str">
        <f aca="false">IF(A833="","",TEXT(B833,"mmm-yyyy"))</f>
        <v/>
      </c>
    </row>
    <row r="834" customFormat="false" ht="15" hidden="false" customHeight="true" outlineLevel="0" collapsed="false">
      <c r="A834" s="24"/>
      <c r="B834" s="39"/>
      <c r="C834" s="24"/>
      <c r="D834" s="24"/>
      <c r="E834" s="40"/>
      <c r="F834" s="29"/>
      <c r="G834" s="30"/>
      <c r="H834" s="17" t="str">
        <f aca="false">IF(A834="","",A834&amp;"|"&amp;COUNTIF(A$5:A834,A834))</f>
        <v/>
      </c>
      <c r="I834" s="33" t="str">
        <f aca="false">IF(A834="","",IFERROR(INDEX(Items!$B$5:$B$304,MATCH(D834,Items!$A$5:$A$304,0))&amp;"",""))</f>
        <v/>
      </c>
      <c r="J834" s="34" t="str">
        <f aca="false">IF(A834="","",IFERROR(INDEX(Items!$C$5:$C$304,MATCH(D834,Items!$A$5:$A$304,0))&amp;"",""))</f>
        <v/>
      </c>
      <c r="K834" s="35" t="n">
        <f aca="false">IF(A834="",0,IF(ISNUMBER(F834),F834,IFERROR(INDEX(Items!$D$5:$D$304,MATCH(D834,Items!$A$5:$A$304,0)),0)))</f>
        <v>0</v>
      </c>
      <c r="L834" s="35" t="n">
        <f aca="false">ROUND(N(E834)*K834*(1-N(G834)),2)</f>
        <v>0</v>
      </c>
      <c r="M834" s="36" t="n">
        <f aca="false">IF(A834="",0,IFERROR(INDEX(Items!$E$5:$E$304,MATCH(D834,Items!$A$5:$A$304,0)),0))</f>
        <v>0</v>
      </c>
      <c r="N834" s="37" t="str">
        <f aca="false">IF(A834="","",IFERROR(INDEX(Customers!$E$5:$E$204,MATCH(C834,Customers!$A$5:$A$204,0)),"?"))</f>
        <v/>
      </c>
      <c r="O834" s="38" t="str">
        <f aca="false">IF(A834="","",IF(N834=Settings!$B$17,"No","Yes"))</f>
        <v/>
      </c>
      <c r="P834" s="35" t="n">
        <f aca="false">IF(O834="Yes",ROUND(L834*M834,2),0)</f>
        <v>0</v>
      </c>
      <c r="Q834" s="35" t="n">
        <f aca="false">IF(O834="No",ROUND(L834*M834/2,2),0)</f>
        <v>0</v>
      </c>
      <c r="R834" s="35" t="n">
        <f aca="false">Q834</f>
        <v>0</v>
      </c>
      <c r="S834" s="35" t="n">
        <f aca="false">L834+P834+Q834+R834</f>
        <v>0</v>
      </c>
      <c r="T834" s="34" t="str">
        <f aca="false">IF(A834="","",IFERROR(INDEX(Customers!$B$5:$B$204,MATCH(C834,Customers!$A$5:$A$204,0))&amp;"",""))</f>
        <v/>
      </c>
      <c r="U834" s="38" t="str">
        <f aca="false">IF(A834="","",IF(T834&lt;&gt;"","B2B",IF(AND(O834="Yes",SUMIF($A$5:$A$1004,A834,$L$5:$L$1004)+SUMIF($A$5:$A$1004,A834,$P$5:$P$1004)&gt;100000),"B2CL","B2CS")))</f>
        <v/>
      </c>
      <c r="V834" s="17" t="str">
        <f aca="false">IF(A834="","",TEXT(B834,"mmm-yyyy"))</f>
        <v/>
      </c>
    </row>
    <row r="835" customFormat="false" ht="15" hidden="false" customHeight="true" outlineLevel="0" collapsed="false">
      <c r="A835" s="24"/>
      <c r="B835" s="39"/>
      <c r="C835" s="24"/>
      <c r="D835" s="24"/>
      <c r="E835" s="40"/>
      <c r="F835" s="29"/>
      <c r="G835" s="30"/>
      <c r="H835" s="17" t="str">
        <f aca="false">IF(A835="","",A835&amp;"|"&amp;COUNTIF(A$5:A835,A835))</f>
        <v/>
      </c>
      <c r="I835" s="33" t="str">
        <f aca="false">IF(A835="","",IFERROR(INDEX(Items!$B$5:$B$304,MATCH(D835,Items!$A$5:$A$304,0))&amp;"",""))</f>
        <v/>
      </c>
      <c r="J835" s="34" t="str">
        <f aca="false">IF(A835="","",IFERROR(INDEX(Items!$C$5:$C$304,MATCH(D835,Items!$A$5:$A$304,0))&amp;"",""))</f>
        <v/>
      </c>
      <c r="K835" s="35" t="n">
        <f aca="false">IF(A835="",0,IF(ISNUMBER(F835),F835,IFERROR(INDEX(Items!$D$5:$D$304,MATCH(D835,Items!$A$5:$A$304,0)),0)))</f>
        <v>0</v>
      </c>
      <c r="L835" s="35" t="n">
        <f aca="false">ROUND(N(E835)*K835*(1-N(G835)),2)</f>
        <v>0</v>
      </c>
      <c r="M835" s="36" t="n">
        <f aca="false">IF(A835="",0,IFERROR(INDEX(Items!$E$5:$E$304,MATCH(D835,Items!$A$5:$A$304,0)),0))</f>
        <v>0</v>
      </c>
      <c r="N835" s="37" t="str">
        <f aca="false">IF(A835="","",IFERROR(INDEX(Customers!$E$5:$E$204,MATCH(C835,Customers!$A$5:$A$204,0)),"?"))</f>
        <v/>
      </c>
      <c r="O835" s="38" t="str">
        <f aca="false">IF(A835="","",IF(N835=Settings!$B$17,"No","Yes"))</f>
        <v/>
      </c>
      <c r="P835" s="35" t="n">
        <f aca="false">IF(O835="Yes",ROUND(L835*M835,2),0)</f>
        <v>0</v>
      </c>
      <c r="Q835" s="35" t="n">
        <f aca="false">IF(O835="No",ROUND(L835*M835/2,2),0)</f>
        <v>0</v>
      </c>
      <c r="R835" s="35" t="n">
        <f aca="false">Q835</f>
        <v>0</v>
      </c>
      <c r="S835" s="35" t="n">
        <f aca="false">L835+P835+Q835+R835</f>
        <v>0</v>
      </c>
      <c r="T835" s="34" t="str">
        <f aca="false">IF(A835="","",IFERROR(INDEX(Customers!$B$5:$B$204,MATCH(C835,Customers!$A$5:$A$204,0))&amp;"",""))</f>
        <v/>
      </c>
      <c r="U835" s="38" t="str">
        <f aca="false">IF(A835="","",IF(T835&lt;&gt;"","B2B",IF(AND(O835="Yes",SUMIF($A$5:$A$1004,A835,$L$5:$L$1004)+SUMIF($A$5:$A$1004,A835,$P$5:$P$1004)&gt;100000),"B2CL","B2CS")))</f>
        <v/>
      </c>
      <c r="V835" s="17" t="str">
        <f aca="false">IF(A835="","",TEXT(B835,"mmm-yyyy"))</f>
        <v/>
      </c>
    </row>
    <row r="836" customFormat="false" ht="15" hidden="false" customHeight="true" outlineLevel="0" collapsed="false">
      <c r="A836" s="24"/>
      <c r="B836" s="39"/>
      <c r="C836" s="24"/>
      <c r="D836" s="24"/>
      <c r="E836" s="40"/>
      <c r="F836" s="29"/>
      <c r="G836" s="30"/>
      <c r="H836" s="17" t="str">
        <f aca="false">IF(A836="","",A836&amp;"|"&amp;COUNTIF(A$5:A836,A836))</f>
        <v/>
      </c>
      <c r="I836" s="33" t="str">
        <f aca="false">IF(A836="","",IFERROR(INDEX(Items!$B$5:$B$304,MATCH(D836,Items!$A$5:$A$304,0))&amp;"",""))</f>
        <v/>
      </c>
      <c r="J836" s="34" t="str">
        <f aca="false">IF(A836="","",IFERROR(INDEX(Items!$C$5:$C$304,MATCH(D836,Items!$A$5:$A$304,0))&amp;"",""))</f>
        <v/>
      </c>
      <c r="K836" s="35" t="n">
        <f aca="false">IF(A836="",0,IF(ISNUMBER(F836),F836,IFERROR(INDEX(Items!$D$5:$D$304,MATCH(D836,Items!$A$5:$A$304,0)),0)))</f>
        <v>0</v>
      </c>
      <c r="L836" s="35" t="n">
        <f aca="false">ROUND(N(E836)*K836*(1-N(G836)),2)</f>
        <v>0</v>
      </c>
      <c r="M836" s="36" t="n">
        <f aca="false">IF(A836="",0,IFERROR(INDEX(Items!$E$5:$E$304,MATCH(D836,Items!$A$5:$A$304,0)),0))</f>
        <v>0</v>
      </c>
      <c r="N836" s="37" t="str">
        <f aca="false">IF(A836="","",IFERROR(INDEX(Customers!$E$5:$E$204,MATCH(C836,Customers!$A$5:$A$204,0)),"?"))</f>
        <v/>
      </c>
      <c r="O836" s="38" t="str">
        <f aca="false">IF(A836="","",IF(N836=Settings!$B$17,"No","Yes"))</f>
        <v/>
      </c>
      <c r="P836" s="35" t="n">
        <f aca="false">IF(O836="Yes",ROUND(L836*M836,2),0)</f>
        <v>0</v>
      </c>
      <c r="Q836" s="35" t="n">
        <f aca="false">IF(O836="No",ROUND(L836*M836/2,2),0)</f>
        <v>0</v>
      </c>
      <c r="R836" s="35" t="n">
        <f aca="false">Q836</f>
        <v>0</v>
      </c>
      <c r="S836" s="35" t="n">
        <f aca="false">L836+P836+Q836+R836</f>
        <v>0</v>
      </c>
      <c r="T836" s="34" t="str">
        <f aca="false">IF(A836="","",IFERROR(INDEX(Customers!$B$5:$B$204,MATCH(C836,Customers!$A$5:$A$204,0))&amp;"",""))</f>
        <v/>
      </c>
      <c r="U836" s="38" t="str">
        <f aca="false">IF(A836="","",IF(T836&lt;&gt;"","B2B",IF(AND(O836="Yes",SUMIF($A$5:$A$1004,A836,$L$5:$L$1004)+SUMIF($A$5:$A$1004,A836,$P$5:$P$1004)&gt;100000),"B2CL","B2CS")))</f>
        <v/>
      </c>
      <c r="V836" s="17" t="str">
        <f aca="false">IF(A836="","",TEXT(B836,"mmm-yyyy"))</f>
        <v/>
      </c>
    </row>
    <row r="837" customFormat="false" ht="15" hidden="false" customHeight="true" outlineLevel="0" collapsed="false">
      <c r="A837" s="24"/>
      <c r="B837" s="39"/>
      <c r="C837" s="24"/>
      <c r="D837" s="24"/>
      <c r="E837" s="40"/>
      <c r="F837" s="29"/>
      <c r="G837" s="30"/>
      <c r="H837" s="17" t="str">
        <f aca="false">IF(A837="","",A837&amp;"|"&amp;COUNTIF(A$5:A837,A837))</f>
        <v/>
      </c>
      <c r="I837" s="33" t="str">
        <f aca="false">IF(A837="","",IFERROR(INDEX(Items!$B$5:$B$304,MATCH(D837,Items!$A$5:$A$304,0))&amp;"",""))</f>
        <v/>
      </c>
      <c r="J837" s="34" t="str">
        <f aca="false">IF(A837="","",IFERROR(INDEX(Items!$C$5:$C$304,MATCH(D837,Items!$A$5:$A$304,0))&amp;"",""))</f>
        <v/>
      </c>
      <c r="K837" s="35" t="n">
        <f aca="false">IF(A837="",0,IF(ISNUMBER(F837),F837,IFERROR(INDEX(Items!$D$5:$D$304,MATCH(D837,Items!$A$5:$A$304,0)),0)))</f>
        <v>0</v>
      </c>
      <c r="L837" s="35" t="n">
        <f aca="false">ROUND(N(E837)*K837*(1-N(G837)),2)</f>
        <v>0</v>
      </c>
      <c r="M837" s="36" t="n">
        <f aca="false">IF(A837="",0,IFERROR(INDEX(Items!$E$5:$E$304,MATCH(D837,Items!$A$5:$A$304,0)),0))</f>
        <v>0</v>
      </c>
      <c r="N837" s="37" t="str">
        <f aca="false">IF(A837="","",IFERROR(INDEX(Customers!$E$5:$E$204,MATCH(C837,Customers!$A$5:$A$204,0)),"?"))</f>
        <v/>
      </c>
      <c r="O837" s="38" t="str">
        <f aca="false">IF(A837="","",IF(N837=Settings!$B$17,"No","Yes"))</f>
        <v/>
      </c>
      <c r="P837" s="35" t="n">
        <f aca="false">IF(O837="Yes",ROUND(L837*M837,2),0)</f>
        <v>0</v>
      </c>
      <c r="Q837" s="35" t="n">
        <f aca="false">IF(O837="No",ROUND(L837*M837/2,2),0)</f>
        <v>0</v>
      </c>
      <c r="R837" s="35" t="n">
        <f aca="false">Q837</f>
        <v>0</v>
      </c>
      <c r="S837" s="35" t="n">
        <f aca="false">L837+P837+Q837+R837</f>
        <v>0</v>
      </c>
      <c r="T837" s="34" t="str">
        <f aca="false">IF(A837="","",IFERROR(INDEX(Customers!$B$5:$B$204,MATCH(C837,Customers!$A$5:$A$204,0))&amp;"",""))</f>
        <v/>
      </c>
      <c r="U837" s="38" t="str">
        <f aca="false">IF(A837="","",IF(T837&lt;&gt;"","B2B",IF(AND(O837="Yes",SUMIF($A$5:$A$1004,A837,$L$5:$L$1004)+SUMIF($A$5:$A$1004,A837,$P$5:$P$1004)&gt;100000),"B2CL","B2CS")))</f>
        <v/>
      </c>
      <c r="V837" s="17" t="str">
        <f aca="false">IF(A837="","",TEXT(B837,"mmm-yyyy"))</f>
        <v/>
      </c>
    </row>
    <row r="838" customFormat="false" ht="15" hidden="false" customHeight="true" outlineLevel="0" collapsed="false">
      <c r="A838" s="24"/>
      <c r="B838" s="39"/>
      <c r="C838" s="24"/>
      <c r="D838" s="24"/>
      <c r="E838" s="40"/>
      <c r="F838" s="29"/>
      <c r="G838" s="30"/>
      <c r="H838" s="17" t="str">
        <f aca="false">IF(A838="","",A838&amp;"|"&amp;COUNTIF(A$5:A838,A838))</f>
        <v/>
      </c>
      <c r="I838" s="33" t="str">
        <f aca="false">IF(A838="","",IFERROR(INDEX(Items!$B$5:$B$304,MATCH(D838,Items!$A$5:$A$304,0))&amp;"",""))</f>
        <v/>
      </c>
      <c r="J838" s="34" t="str">
        <f aca="false">IF(A838="","",IFERROR(INDEX(Items!$C$5:$C$304,MATCH(D838,Items!$A$5:$A$304,0))&amp;"",""))</f>
        <v/>
      </c>
      <c r="K838" s="35" t="n">
        <f aca="false">IF(A838="",0,IF(ISNUMBER(F838),F838,IFERROR(INDEX(Items!$D$5:$D$304,MATCH(D838,Items!$A$5:$A$304,0)),0)))</f>
        <v>0</v>
      </c>
      <c r="L838" s="35" t="n">
        <f aca="false">ROUND(N(E838)*K838*(1-N(G838)),2)</f>
        <v>0</v>
      </c>
      <c r="M838" s="36" t="n">
        <f aca="false">IF(A838="",0,IFERROR(INDEX(Items!$E$5:$E$304,MATCH(D838,Items!$A$5:$A$304,0)),0))</f>
        <v>0</v>
      </c>
      <c r="N838" s="37" t="str">
        <f aca="false">IF(A838="","",IFERROR(INDEX(Customers!$E$5:$E$204,MATCH(C838,Customers!$A$5:$A$204,0)),"?"))</f>
        <v/>
      </c>
      <c r="O838" s="38" t="str">
        <f aca="false">IF(A838="","",IF(N838=Settings!$B$17,"No","Yes"))</f>
        <v/>
      </c>
      <c r="P838" s="35" t="n">
        <f aca="false">IF(O838="Yes",ROUND(L838*M838,2),0)</f>
        <v>0</v>
      </c>
      <c r="Q838" s="35" t="n">
        <f aca="false">IF(O838="No",ROUND(L838*M838/2,2),0)</f>
        <v>0</v>
      </c>
      <c r="R838" s="35" t="n">
        <f aca="false">Q838</f>
        <v>0</v>
      </c>
      <c r="S838" s="35" t="n">
        <f aca="false">L838+P838+Q838+R838</f>
        <v>0</v>
      </c>
      <c r="T838" s="34" t="str">
        <f aca="false">IF(A838="","",IFERROR(INDEX(Customers!$B$5:$B$204,MATCH(C838,Customers!$A$5:$A$204,0))&amp;"",""))</f>
        <v/>
      </c>
      <c r="U838" s="38" t="str">
        <f aca="false">IF(A838="","",IF(T838&lt;&gt;"","B2B",IF(AND(O838="Yes",SUMIF($A$5:$A$1004,A838,$L$5:$L$1004)+SUMIF($A$5:$A$1004,A838,$P$5:$P$1004)&gt;100000),"B2CL","B2CS")))</f>
        <v/>
      </c>
      <c r="V838" s="17" t="str">
        <f aca="false">IF(A838="","",TEXT(B838,"mmm-yyyy"))</f>
        <v/>
      </c>
    </row>
    <row r="839" customFormat="false" ht="15" hidden="false" customHeight="true" outlineLevel="0" collapsed="false">
      <c r="A839" s="24"/>
      <c r="B839" s="39"/>
      <c r="C839" s="24"/>
      <c r="D839" s="24"/>
      <c r="E839" s="40"/>
      <c r="F839" s="29"/>
      <c r="G839" s="30"/>
      <c r="H839" s="17" t="str">
        <f aca="false">IF(A839="","",A839&amp;"|"&amp;COUNTIF(A$5:A839,A839))</f>
        <v/>
      </c>
      <c r="I839" s="33" t="str">
        <f aca="false">IF(A839="","",IFERROR(INDEX(Items!$B$5:$B$304,MATCH(D839,Items!$A$5:$A$304,0))&amp;"",""))</f>
        <v/>
      </c>
      <c r="J839" s="34" t="str">
        <f aca="false">IF(A839="","",IFERROR(INDEX(Items!$C$5:$C$304,MATCH(D839,Items!$A$5:$A$304,0))&amp;"",""))</f>
        <v/>
      </c>
      <c r="K839" s="35" t="n">
        <f aca="false">IF(A839="",0,IF(ISNUMBER(F839),F839,IFERROR(INDEX(Items!$D$5:$D$304,MATCH(D839,Items!$A$5:$A$304,0)),0)))</f>
        <v>0</v>
      </c>
      <c r="L839" s="35" t="n">
        <f aca="false">ROUND(N(E839)*K839*(1-N(G839)),2)</f>
        <v>0</v>
      </c>
      <c r="M839" s="36" t="n">
        <f aca="false">IF(A839="",0,IFERROR(INDEX(Items!$E$5:$E$304,MATCH(D839,Items!$A$5:$A$304,0)),0))</f>
        <v>0</v>
      </c>
      <c r="N839" s="37" t="str">
        <f aca="false">IF(A839="","",IFERROR(INDEX(Customers!$E$5:$E$204,MATCH(C839,Customers!$A$5:$A$204,0)),"?"))</f>
        <v/>
      </c>
      <c r="O839" s="38" t="str">
        <f aca="false">IF(A839="","",IF(N839=Settings!$B$17,"No","Yes"))</f>
        <v/>
      </c>
      <c r="P839" s="35" t="n">
        <f aca="false">IF(O839="Yes",ROUND(L839*M839,2),0)</f>
        <v>0</v>
      </c>
      <c r="Q839" s="35" t="n">
        <f aca="false">IF(O839="No",ROUND(L839*M839/2,2),0)</f>
        <v>0</v>
      </c>
      <c r="R839" s="35" t="n">
        <f aca="false">Q839</f>
        <v>0</v>
      </c>
      <c r="S839" s="35" t="n">
        <f aca="false">L839+P839+Q839+R839</f>
        <v>0</v>
      </c>
      <c r="T839" s="34" t="str">
        <f aca="false">IF(A839="","",IFERROR(INDEX(Customers!$B$5:$B$204,MATCH(C839,Customers!$A$5:$A$204,0))&amp;"",""))</f>
        <v/>
      </c>
      <c r="U839" s="38" t="str">
        <f aca="false">IF(A839="","",IF(T839&lt;&gt;"","B2B",IF(AND(O839="Yes",SUMIF($A$5:$A$1004,A839,$L$5:$L$1004)+SUMIF($A$5:$A$1004,A839,$P$5:$P$1004)&gt;100000),"B2CL","B2CS")))</f>
        <v/>
      </c>
      <c r="V839" s="17" t="str">
        <f aca="false">IF(A839="","",TEXT(B839,"mmm-yyyy"))</f>
        <v/>
      </c>
    </row>
    <row r="840" customFormat="false" ht="15" hidden="false" customHeight="true" outlineLevel="0" collapsed="false">
      <c r="A840" s="24"/>
      <c r="B840" s="39"/>
      <c r="C840" s="24"/>
      <c r="D840" s="24"/>
      <c r="E840" s="40"/>
      <c r="F840" s="29"/>
      <c r="G840" s="30"/>
      <c r="H840" s="17" t="str">
        <f aca="false">IF(A840="","",A840&amp;"|"&amp;COUNTIF(A$5:A840,A840))</f>
        <v/>
      </c>
      <c r="I840" s="33" t="str">
        <f aca="false">IF(A840="","",IFERROR(INDEX(Items!$B$5:$B$304,MATCH(D840,Items!$A$5:$A$304,0))&amp;"",""))</f>
        <v/>
      </c>
      <c r="J840" s="34" t="str">
        <f aca="false">IF(A840="","",IFERROR(INDEX(Items!$C$5:$C$304,MATCH(D840,Items!$A$5:$A$304,0))&amp;"",""))</f>
        <v/>
      </c>
      <c r="K840" s="35" t="n">
        <f aca="false">IF(A840="",0,IF(ISNUMBER(F840),F840,IFERROR(INDEX(Items!$D$5:$D$304,MATCH(D840,Items!$A$5:$A$304,0)),0)))</f>
        <v>0</v>
      </c>
      <c r="L840" s="35" t="n">
        <f aca="false">ROUND(N(E840)*K840*(1-N(G840)),2)</f>
        <v>0</v>
      </c>
      <c r="M840" s="36" t="n">
        <f aca="false">IF(A840="",0,IFERROR(INDEX(Items!$E$5:$E$304,MATCH(D840,Items!$A$5:$A$304,0)),0))</f>
        <v>0</v>
      </c>
      <c r="N840" s="37" t="str">
        <f aca="false">IF(A840="","",IFERROR(INDEX(Customers!$E$5:$E$204,MATCH(C840,Customers!$A$5:$A$204,0)),"?"))</f>
        <v/>
      </c>
      <c r="O840" s="38" t="str">
        <f aca="false">IF(A840="","",IF(N840=Settings!$B$17,"No","Yes"))</f>
        <v/>
      </c>
      <c r="P840" s="35" t="n">
        <f aca="false">IF(O840="Yes",ROUND(L840*M840,2),0)</f>
        <v>0</v>
      </c>
      <c r="Q840" s="35" t="n">
        <f aca="false">IF(O840="No",ROUND(L840*M840/2,2),0)</f>
        <v>0</v>
      </c>
      <c r="R840" s="35" t="n">
        <f aca="false">Q840</f>
        <v>0</v>
      </c>
      <c r="S840" s="35" t="n">
        <f aca="false">L840+P840+Q840+R840</f>
        <v>0</v>
      </c>
      <c r="T840" s="34" t="str">
        <f aca="false">IF(A840="","",IFERROR(INDEX(Customers!$B$5:$B$204,MATCH(C840,Customers!$A$5:$A$204,0))&amp;"",""))</f>
        <v/>
      </c>
      <c r="U840" s="38" t="str">
        <f aca="false">IF(A840="","",IF(T840&lt;&gt;"","B2B",IF(AND(O840="Yes",SUMIF($A$5:$A$1004,A840,$L$5:$L$1004)+SUMIF($A$5:$A$1004,A840,$P$5:$P$1004)&gt;100000),"B2CL","B2CS")))</f>
        <v/>
      </c>
      <c r="V840" s="17" t="str">
        <f aca="false">IF(A840="","",TEXT(B840,"mmm-yyyy"))</f>
        <v/>
      </c>
    </row>
    <row r="841" customFormat="false" ht="15" hidden="false" customHeight="true" outlineLevel="0" collapsed="false">
      <c r="A841" s="24"/>
      <c r="B841" s="39"/>
      <c r="C841" s="24"/>
      <c r="D841" s="24"/>
      <c r="E841" s="40"/>
      <c r="F841" s="29"/>
      <c r="G841" s="30"/>
      <c r="H841" s="17" t="str">
        <f aca="false">IF(A841="","",A841&amp;"|"&amp;COUNTIF(A$5:A841,A841))</f>
        <v/>
      </c>
      <c r="I841" s="33" t="str">
        <f aca="false">IF(A841="","",IFERROR(INDEX(Items!$B$5:$B$304,MATCH(D841,Items!$A$5:$A$304,0))&amp;"",""))</f>
        <v/>
      </c>
      <c r="J841" s="34" t="str">
        <f aca="false">IF(A841="","",IFERROR(INDEX(Items!$C$5:$C$304,MATCH(D841,Items!$A$5:$A$304,0))&amp;"",""))</f>
        <v/>
      </c>
      <c r="K841" s="35" t="n">
        <f aca="false">IF(A841="",0,IF(ISNUMBER(F841),F841,IFERROR(INDEX(Items!$D$5:$D$304,MATCH(D841,Items!$A$5:$A$304,0)),0)))</f>
        <v>0</v>
      </c>
      <c r="L841" s="35" t="n">
        <f aca="false">ROUND(N(E841)*K841*(1-N(G841)),2)</f>
        <v>0</v>
      </c>
      <c r="M841" s="36" t="n">
        <f aca="false">IF(A841="",0,IFERROR(INDEX(Items!$E$5:$E$304,MATCH(D841,Items!$A$5:$A$304,0)),0))</f>
        <v>0</v>
      </c>
      <c r="N841" s="37" t="str">
        <f aca="false">IF(A841="","",IFERROR(INDEX(Customers!$E$5:$E$204,MATCH(C841,Customers!$A$5:$A$204,0)),"?"))</f>
        <v/>
      </c>
      <c r="O841" s="38" t="str">
        <f aca="false">IF(A841="","",IF(N841=Settings!$B$17,"No","Yes"))</f>
        <v/>
      </c>
      <c r="P841" s="35" t="n">
        <f aca="false">IF(O841="Yes",ROUND(L841*M841,2),0)</f>
        <v>0</v>
      </c>
      <c r="Q841" s="35" t="n">
        <f aca="false">IF(O841="No",ROUND(L841*M841/2,2),0)</f>
        <v>0</v>
      </c>
      <c r="R841" s="35" t="n">
        <f aca="false">Q841</f>
        <v>0</v>
      </c>
      <c r="S841" s="35" t="n">
        <f aca="false">L841+P841+Q841+R841</f>
        <v>0</v>
      </c>
      <c r="T841" s="34" t="str">
        <f aca="false">IF(A841="","",IFERROR(INDEX(Customers!$B$5:$B$204,MATCH(C841,Customers!$A$5:$A$204,0))&amp;"",""))</f>
        <v/>
      </c>
      <c r="U841" s="38" t="str">
        <f aca="false">IF(A841="","",IF(T841&lt;&gt;"","B2B",IF(AND(O841="Yes",SUMIF($A$5:$A$1004,A841,$L$5:$L$1004)+SUMIF($A$5:$A$1004,A841,$P$5:$P$1004)&gt;100000),"B2CL","B2CS")))</f>
        <v/>
      </c>
      <c r="V841" s="17" t="str">
        <f aca="false">IF(A841="","",TEXT(B841,"mmm-yyyy"))</f>
        <v/>
      </c>
    </row>
    <row r="842" customFormat="false" ht="15" hidden="false" customHeight="true" outlineLevel="0" collapsed="false">
      <c r="A842" s="24"/>
      <c r="B842" s="39"/>
      <c r="C842" s="24"/>
      <c r="D842" s="24"/>
      <c r="E842" s="40"/>
      <c r="F842" s="29"/>
      <c r="G842" s="30"/>
      <c r="H842" s="17" t="str">
        <f aca="false">IF(A842="","",A842&amp;"|"&amp;COUNTIF(A$5:A842,A842))</f>
        <v/>
      </c>
      <c r="I842" s="33" t="str">
        <f aca="false">IF(A842="","",IFERROR(INDEX(Items!$B$5:$B$304,MATCH(D842,Items!$A$5:$A$304,0))&amp;"",""))</f>
        <v/>
      </c>
      <c r="J842" s="34" t="str">
        <f aca="false">IF(A842="","",IFERROR(INDEX(Items!$C$5:$C$304,MATCH(D842,Items!$A$5:$A$304,0))&amp;"",""))</f>
        <v/>
      </c>
      <c r="K842" s="35" t="n">
        <f aca="false">IF(A842="",0,IF(ISNUMBER(F842),F842,IFERROR(INDEX(Items!$D$5:$D$304,MATCH(D842,Items!$A$5:$A$304,0)),0)))</f>
        <v>0</v>
      </c>
      <c r="L842" s="35" t="n">
        <f aca="false">ROUND(N(E842)*K842*(1-N(G842)),2)</f>
        <v>0</v>
      </c>
      <c r="M842" s="36" t="n">
        <f aca="false">IF(A842="",0,IFERROR(INDEX(Items!$E$5:$E$304,MATCH(D842,Items!$A$5:$A$304,0)),0))</f>
        <v>0</v>
      </c>
      <c r="N842" s="37" t="str">
        <f aca="false">IF(A842="","",IFERROR(INDEX(Customers!$E$5:$E$204,MATCH(C842,Customers!$A$5:$A$204,0)),"?"))</f>
        <v/>
      </c>
      <c r="O842" s="38" t="str">
        <f aca="false">IF(A842="","",IF(N842=Settings!$B$17,"No","Yes"))</f>
        <v/>
      </c>
      <c r="P842" s="35" t="n">
        <f aca="false">IF(O842="Yes",ROUND(L842*M842,2),0)</f>
        <v>0</v>
      </c>
      <c r="Q842" s="35" t="n">
        <f aca="false">IF(O842="No",ROUND(L842*M842/2,2),0)</f>
        <v>0</v>
      </c>
      <c r="R842" s="35" t="n">
        <f aca="false">Q842</f>
        <v>0</v>
      </c>
      <c r="S842" s="35" t="n">
        <f aca="false">L842+P842+Q842+R842</f>
        <v>0</v>
      </c>
      <c r="T842" s="34" t="str">
        <f aca="false">IF(A842="","",IFERROR(INDEX(Customers!$B$5:$B$204,MATCH(C842,Customers!$A$5:$A$204,0))&amp;"",""))</f>
        <v/>
      </c>
      <c r="U842" s="38" t="str">
        <f aca="false">IF(A842="","",IF(T842&lt;&gt;"","B2B",IF(AND(O842="Yes",SUMIF($A$5:$A$1004,A842,$L$5:$L$1004)+SUMIF($A$5:$A$1004,A842,$P$5:$P$1004)&gt;100000),"B2CL","B2CS")))</f>
        <v/>
      </c>
      <c r="V842" s="17" t="str">
        <f aca="false">IF(A842="","",TEXT(B842,"mmm-yyyy"))</f>
        <v/>
      </c>
    </row>
    <row r="843" customFormat="false" ht="15" hidden="false" customHeight="true" outlineLevel="0" collapsed="false">
      <c r="A843" s="24"/>
      <c r="B843" s="39"/>
      <c r="C843" s="24"/>
      <c r="D843" s="24"/>
      <c r="E843" s="40"/>
      <c r="F843" s="29"/>
      <c r="G843" s="30"/>
      <c r="H843" s="17" t="str">
        <f aca="false">IF(A843="","",A843&amp;"|"&amp;COUNTIF(A$5:A843,A843))</f>
        <v/>
      </c>
      <c r="I843" s="33" t="str">
        <f aca="false">IF(A843="","",IFERROR(INDEX(Items!$B$5:$B$304,MATCH(D843,Items!$A$5:$A$304,0))&amp;"",""))</f>
        <v/>
      </c>
      <c r="J843" s="34" t="str">
        <f aca="false">IF(A843="","",IFERROR(INDEX(Items!$C$5:$C$304,MATCH(D843,Items!$A$5:$A$304,0))&amp;"",""))</f>
        <v/>
      </c>
      <c r="K843" s="35" t="n">
        <f aca="false">IF(A843="",0,IF(ISNUMBER(F843),F843,IFERROR(INDEX(Items!$D$5:$D$304,MATCH(D843,Items!$A$5:$A$304,0)),0)))</f>
        <v>0</v>
      </c>
      <c r="L843" s="35" t="n">
        <f aca="false">ROUND(N(E843)*K843*(1-N(G843)),2)</f>
        <v>0</v>
      </c>
      <c r="M843" s="36" t="n">
        <f aca="false">IF(A843="",0,IFERROR(INDEX(Items!$E$5:$E$304,MATCH(D843,Items!$A$5:$A$304,0)),0))</f>
        <v>0</v>
      </c>
      <c r="N843" s="37" t="str">
        <f aca="false">IF(A843="","",IFERROR(INDEX(Customers!$E$5:$E$204,MATCH(C843,Customers!$A$5:$A$204,0)),"?"))</f>
        <v/>
      </c>
      <c r="O843" s="38" t="str">
        <f aca="false">IF(A843="","",IF(N843=Settings!$B$17,"No","Yes"))</f>
        <v/>
      </c>
      <c r="P843" s="35" t="n">
        <f aca="false">IF(O843="Yes",ROUND(L843*M843,2),0)</f>
        <v>0</v>
      </c>
      <c r="Q843" s="35" t="n">
        <f aca="false">IF(O843="No",ROUND(L843*M843/2,2),0)</f>
        <v>0</v>
      </c>
      <c r="R843" s="35" t="n">
        <f aca="false">Q843</f>
        <v>0</v>
      </c>
      <c r="S843" s="35" t="n">
        <f aca="false">L843+P843+Q843+R843</f>
        <v>0</v>
      </c>
      <c r="T843" s="34" t="str">
        <f aca="false">IF(A843="","",IFERROR(INDEX(Customers!$B$5:$B$204,MATCH(C843,Customers!$A$5:$A$204,0))&amp;"",""))</f>
        <v/>
      </c>
      <c r="U843" s="38" t="str">
        <f aca="false">IF(A843="","",IF(T843&lt;&gt;"","B2B",IF(AND(O843="Yes",SUMIF($A$5:$A$1004,A843,$L$5:$L$1004)+SUMIF($A$5:$A$1004,A843,$P$5:$P$1004)&gt;100000),"B2CL","B2CS")))</f>
        <v/>
      </c>
      <c r="V843" s="17" t="str">
        <f aca="false">IF(A843="","",TEXT(B843,"mmm-yyyy"))</f>
        <v/>
      </c>
    </row>
    <row r="844" customFormat="false" ht="15" hidden="false" customHeight="true" outlineLevel="0" collapsed="false">
      <c r="A844" s="24"/>
      <c r="B844" s="39"/>
      <c r="C844" s="24"/>
      <c r="D844" s="24"/>
      <c r="E844" s="40"/>
      <c r="F844" s="29"/>
      <c r="G844" s="30"/>
      <c r="H844" s="17" t="str">
        <f aca="false">IF(A844="","",A844&amp;"|"&amp;COUNTIF(A$5:A844,A844))</f>
        <v/>
      </c>
      <c r="I844" s="33" t="str">
        <f aca="false">IF(A844="","",IFERROR(INDEX(Items!$B$5:$B$304,MATCH(D844,Items!$A$5:$A$304,0))&amp;"",""))</f>
        <v/>
      </c>
      <c r="J844" s="34" t="str">
        <f aca="false">IF(A844="","",IFERROR(INDEX(Items!$C$5:$C$304,MATCH(D844,Items!$A$5:$A$304,0))&amp;"",""))</f>
        <v/>
      </c>
      <c r="K844" s="35" t="n">
        <f aca="false">IF(A844="",0,IF(ISNUMBER(F844),F844,IFERROR(INDEX(Items!$D$5:$D$304,MATCH(D844,Items!$A$5:$A$304,0)),0)))</f>
        <v>0</v>
      </c>
      <c r="L844" s="35" t="n">
        <f aca="false">ROUND(N(E844)*K844*(1-N(G844)),2)</f>
        <v>0</v>
      </c>
      <c r="M844" s="36" t="n">
        <f aca="false">IF(A844="",0,IFERROR(INDEX(Items!$E$5:$E$304,MATCH(D844,Items!$A$5:$A$304,0)),0))</f>
        <v>0</v>
      </c>
      <c r="N844" s="37" t="str">
        <f aca="false">IF(A844="","",IFERROR(INDEX(Customers!$E$5:$E$204,MATCH(C844,Customers!$A$5:$A$204,0)),"?"))</f>
        <v/>
      </c>
      <c r="O844" s="38" t="str">
        <f aca="false">IF(A844="","",IF(N844=Settings!$B$17,"No","Yes"))</f>
        <v/>
      </c>
      <c r="P844" s="35" t="n">
        <f aca="false">IF(O844="Yes",ROUND(L844*M844,2),0)</f>
        <v>0</v>
      </c>
      <c r="Q844" s="35" t="n">
        <f aca="false">IF(O844="No",ROUND(L844*M844/2,2),0)</f>
        <v>0</v>
      </c>
      <c r="R844" s="35" t="n">
        <f aca="false">Q844</f>
        <v>0</v>
      </c>
      <c r="S844" s="35" t="n">
        <f aca="false">L844+P844+Q844+R844</f>
        <v>0</v>
      </c>
      <c r="T844" s="34" t="str">
        <f aca="false">IF(A844="","",IFERROR(INDEX(Customers!$B$5:$B$204,MATCH(C844,Customers!$A$5:$A$204,0))&amp;"",""))</f>
        <v/>
      </c>
      <c r="U844" s="38" t="str">
        <f aca="false">IF(A844="","",IF(T844&lt;&gt;"","B2B",IF(AND(O844="Yes",SUMIF($A$5:$A$1004,A844,$L$5:$L$1004)+SUMIF($A$5:$A$1004,A844,$P$5:$P$1004)&gt;100000),"B2CL","B2CS")))</f>
        <v/>
      </c>
      <c r="V844" s="17" t="str">
        <f aca="false">IF(A844="","",TEXT(B844,"mmm-yyyy"))</f>
        <v/>
      </c>
    </row>
    <row r="845" customFormat="false" ht="15" hidden="false" customHeight="true" outlineLevel="0" collapsed="false">
      <c r="A845" s="24"/>
      <c r="B845" s="39"/>
      <c r="C845" s="24"/>
      <c r="D845" s="24"/>
      <c r="E845" s="40"/>
      <c r="F845" s="29"/>
      <c r="G845" s="30"/>
      <c r="H845" s="17" t="str">
        <f aca="false">IF(A845="","",A845&amp;"|"&amp;COUNTIF(A$5:A845,A845))</f>
        <v/>
      </c>
      <c r="I845" s="33" t="str">
        <f aca="false">IF(A845="","",IFERROR(INDEX(Items!$B$5:$B$304,MATCH(D845,Items!$A$5:$A$304,0))&amp;"",""))</f>
        <v/>
      </c>
      <c r="J845" s="34" t="str">
        <f aca="false">IF(A845="","",IFERROR(INDEX(Items!$C$5:$C$304,MATCH(D845,Items!$A$5:$A$304,0))&amp;"",""))</f>
        <v/>
      </c>
      <c r="K845" s="35" t="n">
        <f aca="false">IF(A845="",0,IF(ISNUMBER(F845),F845,IFERROR(INDEX(Items!$D$5:$D$304,MATCH(D845,Items!$A$5:$A$304,0)),0)))</f>
        <v>0</v>
      </c>
      <c r="L845" s="35" t="n">
        <f aca="false">ROUND(N(E845)*K845*(1-N(G845)),2)</f>
        <v>0</v>
      </c>
      <c r="M845" s="36" t="n">
        <f aca="false">IF(A845="",0,IFERROR(INDEX(Items!$E$5:$E$304,MATCH(D845,Items!$A$5:$A$304,0)),0))</f>
        <v>0</v>
      </c>
      <c r="N845" s="37" t="str">
        <f aca="false">IF(A845="","",IFERROR(INDEX(Customers!$E$5:$E$204,MATCH(C845,Customers!$A$5:$A$204,0)),"?"))</f>
        <v/>
      </c>
      <c r="O845" s="38" t="str">
        <f aca="false">IF(A845="","",IF(N845=Settings!$B$17,"No","Yes"))</f>
        <v/>
      </c>
      <c r="P845" s="35" t="n">
        <f aca="false">IF(O845="Yes",ROUND(L845*M845,2),0)</f>
        <v>0</v>
      </c>
      <c r="Q845" s="35" t="n">
        <f aca="false">IF(O845="No",ROUND(L845*M845/2,2),0)</f>
        <v>0</v>
      </c>
      <c r="R845" s="35" t="n">
        <f aca="false">Q845</f>
        <v>0</v>
      </c>
      <c r="S845" s="35" t="n">
        <f aca="false">L845+P845+Q845+R845</f>
        <v>0</v>
      </c>
      <c r="T845" s="34" t="str">
        <f aca="false">IF(A845="","",IFERROR(INDEX(Customers!$B$5:$B$204,MATCH(C845,Customers!$A$5:$A$204,0))&amp;"",""))</f>
        <v/>
      </c>
      <c r="U845" s="38" t="str">
        <f aca="false">IF(A845="","",IF(T845&lt;&gt;"","B2B",IF(AND(O845="Yes",SUMIF($A$5:$A$1004,A845,$L$5:$L$1004)+SUMIF($A$5:$A$1004,A845,$P$5:$P$1004)&gt;100000),"B2CL","B2CS")))</f>
        <v/>
      </c>
      <c r="V845" s="17" t="str">
        <f aca="false">IF(A845="","",TEXT(B845,"mmm-yyyy"))</f>
        <v/>
      </c>
    </row>
    <row r="846" customFormat="false" ht="15" hidden="false" customHeight="true" outlineLevel="0" collapsed="false">
      <c r="A846" s="24"/>
      <c r="B846" s="39"/>
      <c r="C846" s="24"/>
      <c r="D846" s="24"/>
      <c r="E846" s="40"/>
      <c r="F846" s="29"/>
      <c r="G846" s="30"/>
      <c r="H846" s="17" t="str">
        <f aca="false">IF(A846="","",A846&amp;"|"&amp;COUNTIF(A$5:A846,A846))</f>
        <v/>
      </c>
      <c r="I846" s="33" t="str">
        <f aca="false">IF(A846="","",IFERROR(INDEX(Items!$B$5:$B$304,MATCH(D846,Items!$A$5:$A$304,0))&amp;"",""))</f>
        <v/>
      </c>
      <c r="J846" s="34" t="str">
        <f aca="false">IF(A846="","",IFERROR(INDEX(Items!$C$5:$C$304,MATCH(D846,Items!$A$5:$A$304,0))&amp;"",""))</f>
        <v/>
      </c>
      <c r="K846" s="35" t="n">
        <f aca="false">IF(A846="",0,IF(ISNUMBER(F846),F846,IFERROR(INDEX(Items!$D$5:$D$304,MATCH(D846,Items!$A$5:$A$304,0)),0)))</f>
        <v>0</v>
      </c>
      <c r="L846" s="35" t="n">
        <f aca="false">ROUND(N(E846)*K846*(1-N(G846)),2)</f>
        <v>0</v>
      </c>
      <c r="M846" s="36" t="n">
        <f aca="false">IF(A846="",0,IFERROR(INDEX(Items!$E$5:$E$304,MATCH(D846,Items!$A$5:$A$304,0)),0))</f>
        <v>0</v>
      </c>
      <c r="N846" s="37" t="str">
        <f aca="false">IF(A846="","",IFERROR(INDEX(Customers!$E$5:$E$204,MATCH(C846,Customers!$A$5:$A$204,0)),"?"))</f>
        <v/>
      </c>
      <c r="O846" s="38" t="str">
        <f aca="false">IF(A846="","",IF(N846=Settings!$B$17,"No","Yes"))</f>
        <v/>
      </c>
      <c r="P846" s="35" t="n">
        <f aca="false">IF(O846="Yes",ROUND(L846*M846,2),0)</f>
        <v>0</v>
      </c>
      <c r="Q846" s="35" t="n">
        <f aca="false">IF(O846="No",ROUND(L846*M846/2,2),0)</f>
        <v>0</v>
      </c>
      <c r="R846" s="35" t="n">
        <f aca="false">Q846</f>
        <v>0</v>
      </c>
      <c r="S846" s="35" t="n">
        <f aca="false">L846+P846+Q846+R846</f>
        <v>0</v>
      </c>
      <c r="T846" s="34" t="str">
        <f aca="false">IF(A846="","",IFERROR(INDEX(Customers!$B$5:$B$204,MATCH(C846,Customers!$A$5:$A$204,0))&amp;"",""))</f>
        <v/>
      </c>
      <c r="U846" s="38" t="str">
        <f aca="false">IF(A846="","",IF(T846&lt;&gt;"","B2B",IF(AND(O846="Yes",SUMIF($A$5:$A$1004,A846,$L$5:$L$1004)+SUMIF($A$5:$A$1004,A846,$P$5:$P$1004)&gt;100000),"B2CL","B2CS")))</f>
        <v/>
      </c>
      <c r="V846" s="17" t="str">
        <f aca="false">IF(A846="","",TEXT(B846,"mmm-yyyy"))</f>
        <v/>
      </c>
    </row>
    <row r="847" customFormat="false" ht="15" hidden="false" customHeight="true" outlineLevel="0" collapsed="false">
      <c r="A847" s="24"/>
      <c r="B847" s="39"/>
      <c r="C847" s="24"/>
      <c r="D847" s="24"/>
      <c r="E847" s="40"/>
      <c r="F847" s="29"/>
      <c r="G847" s="30"/>
      <c r="H847" s="17" t="str">
        <f aca="false">IF(A847="","",A847&amp;"|"&amp;COUNTIF(A$5:A847,A847))</f>
        <v/>
      </c>
      <c r="I847" s="33" t="str">
        <f aca="false">IF(A847="","",IFERROR(INDEX(Items!$B$5:$B$304,MATCH(D847,Items!$A$5:$A$304,0))&amp;"",""))</f>
        <v/>
      </c>
      <c r="J847" s="34" t="str">
        <f aca="false">IF(A847="","",IFERROR(INDEX(Items!$C$5:$C$304,MATCH(D847,Items!$A$5:$A$304,0))&amp;"",""))</f>
        <v/>
      </c>
      <c r="K847" s="35" t="n">
        <f aca="false">IF(A847="",0,IF(ISNUMBER(F847),F847,IFERROR(INDEX(Items!$D$5:$D$304,MATCH(D847,Items!$A$5:$A$304,0)),0)))</f>
        <v>0</v>
      </c>
      <c r="L847" s="35" t="n">
        <f aca="false">ROUND(N(E847)*K847*(1-N(G847)),2)</f>
        <v>0</v>
      </c>
      <c r="M847" s="36" t="n">
        <f aca="false">IF(A847="",0,IFERROR(INDEX(Items!$E$5:$E$304,MATCH(D847,Items!$A$5:$A$304,0)),0))</f>
        <v>0</v>
      </c>
      <c r="N847" s="37" t="str">
        <f aca="false">IF(A847="","",IFERROR(INDEX(Customers!$E$5:$E$204,MATCH(C847,Customers!$A$5:$A$204,0)),"?"))</f>
        <v/>
      </c>
      <c r="O847" s="38" t="str">
        <f aca="false">IF(A847="","",IF(N847=Settings!$B$17,"No","Yes"))</f>
        <v/>
      </c>
      <c r="P847" s="35" t="n">
        <f aca="false">IF(O847="Yes",ROUND(L847*M847,2),0)</f>
        <v>0</v>
      </c>
      <c r="Q847" s="35" t="n">
        <f aca="false">IF(O847="No",ROUND(L847*M847/2,2),0)</f>
        <v>0</v>
      </c>
      <c r="R847" s="35" t="n">
        <f aca="false">Q847</f>
        <v>0</v>
      </c>
      <c r="S847" s="35" t="n">
        <f aca="false">L847+P847+Q847+R847</f>
        <v>0</v>
      </c>
      <c r="T847" s="34" t="str">
        <f aca="false">IF(A847="","",IFERROR(INDEX(Customers!$B$5:$B$204,MATCH(C847,Customers!$A$5:$A$204,0))&amp;"",""))</f>
        <v/>
      </c>
      <c r="U847" s="38" t="str">
        <f aca="false">IF(A847="","",IF(T847&lt;&gt;"","B2B",IF(AND(O847="Yes",SUMIF($A$5:$A$1004,A847,$L$5:$L$1004)+SUMIF($A$5:$A$1004,A847,$P$5:$P$1004)&gt;100000),"B2CL","B2CS")))</f>
        <v/>
      </c>
      <c r="V847" s="17" t="str">
        <f aca="false">IF(A847="","",TEXT(B847,"mmm-yyyy"))</f>
        <v/>
      </c>
    </row>
    <row r="848" customFormat="false" ht="15" hidden="false" customHeight="true" outlineLevel="0" collapsed="false">
      <c r="A848" s="24"/>
      <c r="B848" s="39"/>
      <c r="C848" s="24"/>
      <c r="D848" s="24"/>
      <c r="E848" s="40"/>
      <c r="F848" s="29"/>
      <c r="G848" s="30"/>
      <c r="H848" s="17" t="str">
        <f aca="false">IF(A848="","",A848&amp;"|"&amp;COUNTIF(A$5:A848,A848))</f>
        <v/>
      </c>
      <c r="I848" s="33" t="str">
        <f aca="false">IF(A848="","",IFERROR(INDEX(Items!$B$5:$B$304,MATCH(D848,Items!$A$5:$A$304,0))&amp;"",""))</f>
        <v/>
      </c>
      <c r="J848" s="34" t="str">
        <f aca="false">IF(A848="","",IFERROR(INDEX(Items!$C$5:$C$304,MATCH(D848,Items!$A$5:$A$304,0))&amp;"",""))</f>
        <v/>
      </c>
      <c r="K848" s="35" t="n">
        <f aca="false">IF(A848="",0,IF(ISNUMBER(F848),F848,IFERROR(INDEX(Items!$D$5:$D$304,MATCH(D848,Items!$A$5:$A$304,0)),0)))</f>
        <v>0</v>
      </c>
      <c r="L848" s="35" t="n">
        <f aca="false">ROUND(N(E848)*K848*(1-N(G848)),2)</f>
        <v>0</v>
      </c>
      <c r="M848" s="36" t="n">
        <f aca="false">IF(A848="",0,IFERROR(INDEX(Items!$E$5:$E$304,MATCH(D848,Items!$A$5:$A$304,0)),0))</f>
        <v>0</v>
      </c>
      <c r="N848" s="37" t="str">
        <f aca="false">IF(A848="","",IFERROR(INDEX(Customers!$E$5:$E$204,MATCH(C848,Customers!$A$5:$A$204,0)),"?"))</f>
        <v/>
      </c>
      <c r="O848" s="38" t="str">
        <f aca="false">IF(A848="","",IF(N848=Settings!$B$17,"No","Yes"))</f>
        <v/>
      </c>
      <c r="P848" s="35" t="n">
        <f aca="false">IF(O848="Yes",ROUND(L848*M848,2),0)</f>
        <v>0</v>
      </c>
      <c r="Q848" s="35" t="n">
        <f aca="false">IF(O848="No",ROUND(L848*M848/2,2),0)</f>
        <v>0</v>
      </c>
      <c r="R848" s="35" t="n">
        <f aca="false">Q848</f>
        <v>0</v>
      </c>
      <c r="S848" s="35" t="n">
        <f aca="false">L848+P848+Q848+R848</f>
        <v>0</v>
      </c>
      <c r="T848" s="34" t="str">
        <f aca="false">IF(A848="","",IFERROR(INDEX(Customers!$B$5:$B$204,MATCH(C848,Customers!$A$5:$A$204,0))&amp;"",""))</f>
        <v/>
      </c>
      <c r="U848" s="38" t="str">
        <f aca="false">IF(A848="","",IF(T848&lt;&gt;"","B2B",IF(AND(O848="Yes",SUMIF($A$5:$A$1004,A848,$L$5:$L$1004)+SUMIF($A$5:$A$1004,A848,$P$5:$P$1004)&gt;100000),"B2CL","B2CS")))</f>
        <v/>
      </c>
      <c r="V848" s="17" t="str">
        <f aca="false">IF(A848="","",TEXT(B848,"mmm-yyyy"))</f>
        <v/>
      </c>
    </row>
    <row r="849" customFormat="false" ht="15" hidden="false" customHeight="true" outlineLevel="0" collapsed="false">
      <c r="A849" s="24"/>
      <c r="B849" s="39"/>
      <c r="C849" s="24"/>
      <c r="D849" s="24"/>
      <c r="E849" s="40"/>
      <c r="F849" s="29"/>
      <c r="G849" s="30"/>
      <c r="H849" s="17" t="str">
        <f aca="false">IF(A849="","",A849&amp;"|"&amp;COUNTIF(A$5:A849,A849))</f>
        <v/>
      </c>
      <c r="I849" s="33" t="str">
        <f aca="false">IF(A849="","",IFERROR(INDEX(Items!$B$5:$B$304,MATCH(D849,Items!$A$5:$A$304,0))&amp;"",""))</f>
        <v/>
      </c>
      <c r="J849" s="34" t="str">
        <f aca="false">IF(A849="","",IFERROR(INDEX(Items!$C$5:$C$304,MATCH(D849,Items!$A$5:$A$304,0))&amp;"",""))</f>
        <v/>
      </c>
      <c r="K849" s="35" t="n">
        <f aca="false">IF(A849="",0,IF(ISNUMBER(F849),F849,IFERROR(INDEX(Items!$D$5:$D$304,MATCH(D849,Items!$A$5:$A$304,0)),0)))</f>
        <v>0</v>
      </c>
      <c r="L849" s="35" t="n">
        <f aca="false">ROUND(N(E849)*K849*(1-N(G849)),2)</f>
        <v>0</v>
      </c>
      <c r="M849" s="36" t="n">
        <f aca="false">IF(A849="",0,IFERROR(INDEX(Items!$E$5:$E$304,MATCH(D849,Items!$A$5:$A$304,0)),0))</f>
        <v>0</v>
      </c>
      <c r="N849" s="37" t="str">
        <f aca="false">IF(A849="","",IFERROR(INDEX(Customers!$E$5:$E$204,MATCH(C849,Customers!$A$5:$A$204,0)),"?"))</f>
        <v/>
      </c>
      <c r="O849" s="38" t="str">
        <f aca="false">IF(A849="","",IF(N849=Settings!$B$17,"No","Yes"))</f>
        <v/>
      </c>
      <c r="P849" s="35" t="n">
        <f aca="false">IF(O849="Yes",ROUND(L849*M849,2),0)</f>
        <v>0</v>
      </c>
      <c r="Q849" s="35" t="n">
        <f aca="false">IF(O849="No",ROUND(L849*M849/2,2),0)</f>
        <v>0</v>
      </c>
      <c r="R849" s="35" t="n">
        <f aca="false">Q849</f>
        <v>0</v>
      </c>
      <c r="S849" s="35" t="n">
        <f aca="false">L849+P849+Q849+R849</f>
        <v>0</v>
      </c>
      <c r="T849" s="34" t="str">
        <f aca="false">IF(A849="","",IFERROR(INDEX(Customers!$B$5:$B$204,MATCH(C849,Customers!$A$5:$A$204,0))&amp;"",""))</f>
        <v/>
      </c>
      <c r="U849" s="38" t="str">
        <f aca="false">IF(A849="","",IF(T849&lt;&gt;"","B2B",IF(AND(O849="Yes",SUMIF($A$5:$A$1004,A849,$L$5:$L$1004)+SUMIF($A$5:$A$1004,A849,$P$5:$P$1004)&gt;100000),"B2CL","B2CS")))</f>
        <v/>
      </c>
      <c r="V849" s="17" t="str">
        <f aca="false">IF(A849="","",TEXT(B849,"mmm-yyyy"))</f>
        <v/>
      </c>
    </row>
    <row r="850" customFormat="false" ht="15" hidden="false" customHeight="true" outlineLevel="0" collapsed="false">
      <c r="A850" s="24"/>
      <c r="B850" s="39"/>
      <c r="C850" s="24"/>
      <c r="D850" s="24"/>
      <c r="E850" s="40"/>
      <c r="F850" s="29"/>
      <c r="G850" s="30"/>
      <c r="H850" s="17" t="str">
        <f aca="false">IF(A850="","",A850&amp;"|"&amp;COUNTIF(A$5:A850,A850))</f>
        <v/>
      </c>
      <c r="I850" s="33" t="str">
        <f aca="false">IF(A850="","",IFERROR(INDEX(Items!$B$5:$B$304,MATCH(D850,Items!$A$5:$A$304,0))&amp;"",""))</f>
        <v/>
      </c>
      <c r="J850" s="34" t="str">
        <f aca="false">IF(A850="","",IFERROR(INDEX(Items!$C$5:$C$304,MATCH(D850,Items!$A$5:$A$304,0))&amp;"",""))</f>
        <v/>
      </c>
      <c r="K850" s="35" t="n">
        <f aca="false">IF(A850="",0,IF(ISNUMBER(F850),F850,IFERROR(INDEX(Items!$D$5:$D$304,MATCH(D850,Items!$A$5:$A$304,0)),0)))</f>
        <v>0</v>
      </c>
      <c r="L850" s="35" t="n">
        <f aca="false">ROUND(N(E850)*K850*(1-N(G850)),2)</f>
        <v>0</v>
      </c>
      <c r="M850" s="36" t="n">
        <f aca="false">IF(A850="",0,IFERROR(INDEX(Items!$E$5:$E$304,MATCH(D850,Items!$A$5:$A$304,0)),0))</f>
        <v>0</v>
      </c>
      <c r="N850" s="37" t="str">
        <f aca="false">IF(A850="","",IFERROR(INDEX(Customers!$E$5:$E$204,MATCH(C850,Customers!$A$5:$A$204,0)),"?"))</f>
        <v/>
      </c>
      <c r="O850" s="38" t="str">
        <f aca="false">IF(A850="","",IF(N850=Settings!$B$17,"No","Yes"))</f>
        <v/>
      </c>
      <c r="P850" s="35" t="n">
        <f aca="false">IF(O850="Yes",ROUND(L850*M850,2),0)</f>
        <v>0</v>
      </c>
      <c r="Q850" s="35" t="n">
        <f aca="false">IF(O850="No",ROUND(L850*M850/2,2),0)</f>
        <v>0</v>
      </c>
      <c r="R850" s="35" t="n">
        <f aca="false">Q850</f>
        <v>0</v>
      </c>
      <c r="S850" s="35" t="n">
        <f aca="false">L850+P850+Q850+R850</f>
        <v>0</v>
      </c>
      <c r="T850" s="34" t="str">
        <f aca="false">IF(A850="","",IFERROR(INDEX(Customers!$B$5:$B$204,MATCH(C850,Customers!$A$5:$A$204,0))&amp;"",""))</f>
        <v/>
      </c>
      <c r="U850" s="38" t="str">
        <f aca="false">IF(A850="","",IF(T850&lt;&gt;"","B2B",IF(AND(O850="Yes",SUMIF($A$5:$A$1004,A850,$L$5:$L$1004)+SUMIF($A$5:$A$1004,A850,$P$5:$P$1004)&gt;100000),"B2CL","B2CS")))</f>
        <v/>
      </c>
      <c r="V850" s="17" t="str">
        <f aca="false">IF(A850="","",TEXT(B850,"mmm-yyyy"))</f>
        <v/>
      </c>
    </row>
    <row r="851" customFormat="false" ht="15" hidden="false" customHeight="true" outlineLevel="0" collapsed="false">
      <c r="A851" s="24"/>
      <c r="B851" s="39"/>
      <c r="C851" s="24"/>
      <c r="D851" s="24"/>
      <c r="E851" s="40"/>
      <c r="F851" s="29"/>
      <c r="G851" s="30"/>
      <c r="H851" s="17" t="str">
        <f aca="false">IF(A851="","",A851&amp;"|"&amp;COUNTIF(A$5:A851,A851))</f>
        <v/>
      </c>
      <c r="I851" s="33" t="str">
        <f aca="false">IF(A851="","",IFERROR(INDEX(Items!$B$5:$B$304,MATCH(D851,Items!$A$5:$A$304,0))&amp;"",""))</f>
        <v/>
      </c>
      <c r="J851" s="34" t="str">
        <f aca="false">IF(A851="","",IFERROR(INDEX(Items!$C$5:$C$304,MATCH(D851,Items!$A$5:$A$304,0))&amp;"",""))</f>
        <v/>
      </c>
      <c r="K851" s="35" t="n">
        <f aca="false">IF(A851="",0,IF(ISNUMBER(F851),F851,IFERROR(INDEX(Items!$D$5:$D$304,MATCH(D851,Items!$A$5:$A$304,0)),0)))</f>
        <v>0</v>
      </c>
      <c r="L851" s="35" t="n">
        <f aca="false">ROUND(N(E851)*K851*(1-N(G851)),2)</f>
        <v>0</v>
      </c>
      <c r="M851" s="36" t="n">
        <f aca="false">IF(A851="",0,IFERROR(INDEX(Items!$E$5:$E$304,MATCH(D851,Items!$A$5:$A$304,0)),0))</f>
        <v>0</v>
      </c>
      <c r="N851" s="37" t="str">
        <f aca="false">IF(A851="","",IFERROR(INDEX(Customers!$E$5:$E$204,MATCH(C851,Customers!$A$5:$A$204,0)),"?"))</f>
        <v/>
      </c>
      <c r="O851" s="38" t="str">
        <f aca="false">IF(A851="","",IF(N851=Settings!$B$17,"No","Yes"))</f>
        <v/>
      </c>
      <c r="P851" s="35" t="n">
        <f aca="false">IF(O851="Yes",ROUND(L851*M851,2),0)</f>
        <v>0</v>
      </c>
      <c r="Q851" s="35" t="n">
        <f aca="false">IF(O851="No",ROUND(L851*M851/2,2),0)</f>
        <v>0</v>
      </c>
      <c r="R851" s="35" t="n">
        <f aca="false">Q851</f>
        <v>0</v>
      </c>
      <c r="S851" s="35" t="n">
        <f aca="false">L851+P851+Q851+R851</f>
        <v>0</v>
      </c>
      <c r="T851" s="34" t="str">
        <f aca="false">IF(A851="","",IFERROR(INDEX(Customers!$B$5:$B$204,MATCH(C851,Customers!$A$5:$A$204,0))&amp;"",""))</f>
        <v/>
      </c>
      <c r="U851" s="38" t="str">
        <f aca="false">IF(A851="","",IF(T851&lt;&gt;"","B2B",IF(AND(O851="Yes",SUMIF($A$5:$A$1004,A851,$L$5:$L$1004)+SUMIF($A$5:$A$1004,A851,$P$5:$P$1004)&gt;100000),"B2CL","B2CS")))</f>
        <v/>
      </c>
      <c r="V851" s="17" t="str">
        <f aca="false">IF(A851="","",TEXT(B851,"mmm-yyyy"))</f>
        <v/>
      </c>
    </row>
    <row r="852" customFormat="false" ht="15" hidden="false" customHeight="true" outlineLevel="0" collapsed="false">
      <c r="A852" s="24"/>
      <c r="B852" s="39"/>
      <c r="C852" s="24"/>
      <c r="D852" s="24"/>
      <c r="E852" s="40"/>
      <c r="F852" s="29"/>
      <c r="G852" s="30"/>
      <c r="H852" s="17" t="str">
        <f aca="false">IF(A852="","",A852&amp;"|"&amp;COUNTIF(A$5:A852,A852))</f>
        <v/>
      </c>
      <c r="I852" s="33" t="str">
        <f aca="false">IF(A852="","",IFERROR(INDEX(Items!$B$5:$B$304,MATCH(D852,Items!$A$5:$A$304,0))&amp;"",""))</f>
        <v/>
      </c>
      <c r="J852" s="34" t="str">
        <f aca="false">IF(A852="","",IFERROR(INDEX(Items!$C$5:$C$304,MATCH(D852,Items!$A$5:$A$304,0))&amp;"",""))</f>
        <v/>
      </c>
      <c r="K852" s="35" t="n">
        <f aca="false">IF(A852="",0,IF(ISNUMBER(F852),F852,IFERROR(INDEX(Items!$D$5:$D$304,MATCH(D852,Items!$A$5:$A$304,0)),0)))</f>
        <v>0</v>
      </c>
      <c r="L852" s="35" t="n">
        <f aca="false">ROUND(N(E852)*K852*(1-N(G852)),2)</f>
        <v>0</v>
      </c>
      <c r="M852" s="36" t="n">
        <f aca="false">IF(A852="",0,IFERROR(INDEX(Items!$E$5:$E$304,MATCH(D852,Items!$A$5:$A$304,0)),0))</f>
        <v>0</v>
      </c>
      <c r="N852" s="37" t="str">
        <f aca="false">IF(A852="","",IFERROR(INDEX(Customers!$E$5:$E$204,MATCH(C852,Customers!$A$5:$A$204,0)),"?"))</f>
        <v/>
      </c>
      <c r="O852" s="38" t="str">
        <f aca="false">IF(A852="","",IF(N852=Settings!$B$17,"No","Yes"))</f>
        <v/>
      </c>
      <c r="P852" s="35" t="n">
        <f aca="false">IF(O852="Yes",ROUND(L852*M852,2),0)</f>
        <v>0</v>
      </c>
      <c r="Q852" s="35" t="n">
        <f aca="false">IF(O852="No",ROUND(L852*M852/2,2),0)</f>
        <v>0</v>
      </c>
      <c r="R852" s="35" t="n">
        <f aca="false">Q852</f>
        <v>0</v>
      </c>
      <c r="S852" s="35" t="n">
        <f aca="false">L852+P852+Q852+R852</f>
        <v>0</v>
      </c>
      <c r="T852" s="34" t="str">
        <f aca="false">IF(A852="","",IFERROR(INDEX(Customers!$B$5:$B$204,MATCH(C852,Customers!$A$5:$A$204,0))&amp;"",""))</f>
        <v/>
      </c>
      <c r="U852" s="38" t="str">
        <f aca="false">IF(A852="","",IF(T852&lt;&gt;"","B2B",IF(AND(O852="Yes",SUMIF($A$5:$A$1004,A852,$L$5:$L$1004)+SUMIF($A$5:$A$1004,A852,$P$5:$P$1004)&gt;100000),"B2CL","B2CS")))</f>
        <v/>
      </c>
      <c r="V852" s="17" t="str">
        <f aca="false">IF(A852="","",TEXT(B852,"mmm-yyyy"))</f>
        <v/>
      </c>
    </row>
    <row r="853" customFormat="false" ht="15" hidden="false" customHeight="true" outlineLevel="0" collapsed="false">
      <c r="A853" s="24"/>
      <c r="B853" s="39"/>
      <c r="C853" s="24"/>
      <c r="D853" s="24"/>
      <c r="E853" s="40"/>
      <c r="F853" s="29"/>
      <c r="G853" s="30"/>
      <c r="H853" s="17" t="str">
        <f aca="false">IF(A853="","",A853&amp;"|"&amp;COUNTIF(A$5:A853,A853))</f>
        <v/>
      </c>
      <c r="I853" s="33" t="str">
        <f aca="false">IF(A853="","",IFERROR(INDEX(Items!$B$5:$B$304,MATCH(D853,Items!$A$5:$A$304,0))&amp;"",""))</f>
        <v/>
      </c>
      <c r="J853" s="34" t="str">
        <f aca="false">IF(A853="","",IFERROR(INDEX(Items!$C$5:$C$304,MATCH(D853,Items!$A$5:$A$304,0))&amp;"",""))</f>
        <v/>
      </c>
      <c r="K853" s="35" t="n">
        <f aca="false">IF(A853="",0,IF(ISNUMBER(F853),F853,IFERROR(INDEX(Items!$D$5:$D$304,MATCH(D853,Items!$A$5:$A$304,0)),0)))</f>
        <v>0</v>
      </c>
      <c r="L853" s="35" t="n">
        <f aca="false">ROUND(N(E853)*K853*(1-N(G853)),2)</f>
        <v>0</v>
      </c>
      <c r="M853" s="36" t="n">
        <f aca="false">IF(A853="",0,IFERROR(INDEX(Items!$E$5:$E$304,MATCH(D853,Items!$A$5:$A$304,0)),0))</f>
        <v>0</v>
      </c>
      <c r="N853" s="37" t="str">
        <f aca="false">IF(A853="","",IFERROR(INDEX(Customers!$E$5:$E$204,MATCH(C853,Customers!$A$5:$A$204,0)),"?"))</f>
        <v/>
      </c>
      <c r="O853" s="38" t="str">
        <f aca="false">IF(A853="","",IF(N853=Settings!$B$17,"No","Yes"))</f>
        <v/>
      </c>
      <c r="P853" s="35" t="n">
        <f aca="false">IF(O853="Yes",ROUND(L853*M853,2),0)</f>
        <v>0</v>
      </c>
      <c r="Q853" s="35" t="n">
        <f aca="false">IF(O853="No",ROUND(L853*M853/2,2),0)</f>
        <v>0</v>
      </c>
      <c r="R853" s="35" t="n">
        <f aca="false">Q853</f>
        <v>0</v>
      </c>
      <c r="S853" s="35" t="n">
        <f aca="false">L853+P853+Q853+R853</f>
        <v>0</v>
      </c>
      <c r="T853" s="34" t="str">
        <f aca="false">IF(A853="","",IFERROR(INDEX(Customers!$B$5:$B$204,MATCH(C853,Customers!$A$5:$A$204,0))&amp;"",""))</f>
        <v/>
      </c>
      <c r="U853" s="38" t="str">
        <f aca="false">IF(A853="","",IF(T853&lt;&gt;"","B2B",IF(AND(O853="Yes",SUMIF($A$5:$A$1004,A853,$L$5:$L$1004)+SUMIF($A$5:$A$1004,A853,$P$5:$P$1004)&gt;100000),"B2CL","B2CS")))</f>
        <v/>
      </c>
      <c r="V853" s="17" t="str">
        <f aca="false">IF(A853="","",TEXT(B853,"mmm-yyyy"))</f>
        <v/>
      </c>
    </row>
    <row r="854" customFormat="false" ht="15" hidden="false" customHeight="true" outlineLevel="0" collapsed="false">
      <c r="A854" s="24"/>
      <c r="B854" s="39"/>
      <c r="C854" s="24"/>
      <c r="D854" s="24"/>
      <c r="E854" s="40"/>
      <c r="F854" s="29"/>
      <c r="G854" s="30"/>
      <c r="H854" s="17" t="str">
        <f aca="false">IF(A854="","",A854&amp;"|"&amp;COUNTIF(A$5:A854,A854))</f>
        <v/>
      </c>
      <c r="I854" s="33" t="str">
        <f aca="false">IF(A854="","",IFERROR(INDEX(Items!$B$5:$B$304,MATCH(D854,Items!$A$5:$A$304,0))&amp;"",""))</f>
        <v/>
      </c>
      <c r="J854" s="34" t="str">
        <f aca="false">IF(A854="","",IFERROR(INDEX(Items!$C$5:$C$304,MATCH(D854,Items!$A$5:$A$304,0))&amp;"",""))</f>
        <v/>
      </c>
      <c r="K854" s="35" t="n">
        <f aca="false">IF(A854="",0,IF(ISNUMBER(F854),F854,IFERROR(INDEX(Items!$D$5:$D$304,MATCH(D854,Items!$A$5:$A$304,0)),0)))</f>
        <v>0</v>
      </c>
      <c r="L854" s="35" t="n">
        <f aca="false">ROUND(N(E854)*K854*(1-N(G854)),2)</f>
        <v>0</v>
      </c>
      <c r="M854" s="36" t="n">
        <f aca="false">IF(A854="",0,IFERROR(INDEX(Items!$E$5:$E$304,MATCH(D854,Items!$A$5:$A$304,0)),0))</f>
        <v>0</v>
      </c>
      <c r="N854" s="37" t="str">
        <f aca="false">IF(A854="","",IFERROR(INDEX(Customers!$E$5:$E$204,MATCH(C854,Customers!$A$5:$A$204,0)),"?"))</f>
        <v/>
      </c>
      <c r="O854" s="38" t="str">
        <f aca="false">IF(A854="","",IF(N854=Settings!$B$17,"No","Yes"))</f>
        <v/>
      </c>
      <c r="P854" s="35" t="n">
        <f aca="false">IF(O854="Yes",ROUND(L854*M854,2),0)</f>
        <v>0</v>
      </c>
      <c r="Q854" s="35" t="n">
        <f aca="false">IF(O854="No",ROUND(L854*M854/2,2),0)</f>
        <v>0</v>
      </c>
      <c r="R854" s="35" t="n">
        <f aca="false">Q854</f>
        <v>0</v>
      </c>
      <c r="S854" s="35" t="n">
        <f aca="false">L854+P854+Q854+R854</f>
        <v>0</v>
      </c>
      <c r="T854" s="34" t="str">
        <f aca="false">IF(A854="","",IFERROR(INDEX(Customers!$B$5:$B$204,MATCH(C854,Customers!$A$5:$A$204,0))&amp;"",""))</f>
        <v/>
      </c>
      <c r="U854" s="38" t="str">
        <f aca="false">IF(A854="","",IF(T854&lt;&gt;"","B2B",IF(AND(O854="Yes",SUMIF($A$5:$A$1004,A854,$L$5:$L$1004)+SUMIF($A$5:$A$1004,A854,$P$5:$P$1004)&gt;100000),"B2CL","B2CS")))</f>
        <v/>
      </c>
      <c r="V854" s="17" t="str">
        <f aca="false">IF(A854="","",TEXT(B854,"mmm-yyyy"))</f>
        <v/>
      </c>
    </row>
    <row r="855" customFormat="false" ht="15" hidden="false" customHeight="true" outlineLevel="0" collapsed="false">
      <c r="A855" s="24"/>
      <c r="B855" s="39"/>
      <c r="C855" s="24"/>
      <c r="D855" s="24"/>
      <c r="E855" s="40"/>
      <c r="F855" s="29"/>
      <c r="G855" s="30"/>
      <c r="H855" s="17" t="str">
        <f aca="false">IF(A855="","",A855&amp;"|"&amp;COUNTIF(A$5:A855,A855))</f>
        <v/>
      </c>
      <c r="I855" s="33" t="str">
        <f aca="false">IF(A855="","",IFERROR(INDEX(Items!$B$5:$B$304,MATCH(D855,Items!$A$5:$A$304,0))&amp;"",""))</f>
        <v/>
      </c>
      <c r="J855" s="34" t="str">
        <f aca="false">IF(A855="","",IFERROR(INDEX(Items!$C$5:$C$304,MATCH(D855,Items!$A$5:$A$304,0))&amp;"",""))</f>
        <v/>
      </c>
      <c r="K855" s="35" t="n">
        <f aca="false">IF(A855="",0,IF(ISNUMBER(F855),F855,IFERROR(INDEX(Items!$D$5:$D$304,MATCH(D855,Items!$A$5:$A$304,0)),0)))</f>
        <v>0</v>
      </c>
      <c r="L855" s="35" t="n">
        <f aca="false">ROUND(N(E855)*K855*(1-N(G855)),2)</f>
        <v>0</v>
      </c>
      <c r="M855" s="36" t="n">
        <f aca="false">IF(A855="",0,IFERROR(INDEX(Items!$E$5:$E$304,MATCH(D855,Items!$A$5:$A$304,0)),0))</f>
        <v>0</v>
      </c>
      <c r="N855" s="37" t="str">
        <f aca="false">IF(A855="","",IFERROR(INDEX(Customers!$E$5:$E$204,MATCH(C855,Customers!$A$5:$A$204,0)),"?"))</f>
        <v/>
      </c>
      <c r="O855" s="38" t="str">
        <f aca="false">IF(A855="","",IF(N855=Settings!$B$17,"No","Yes"))</f>
        <v/>
      </c>
      <c r="P855" s="35" t="n">
        <f aca="false">IF(O855="Yes",ROUND(L855*M855,2),0)</f>
        <v>0</v>
      </c>
      <c r="Q855" s="35" t="n">
        <f aca="false">IF(O855="No",ROUND(L855*M855/2,2),0)</f>
        <v>0</v>
      </c>
      <c r="R855" s="35" t="n">
        <f aca="false">Q855</f>
        <v>0</v>
      </c>
      <c r="S855" s="35" t="n">
        <f aca="false">L855+P855+Q855+R855</f>
        <v>0</v>
      </c>
      <c r="T855" s="34" t="str">
        <f aca="false">IF(A855="","",IFERROR(INDEX(Customers!$B$5:$B$204,MATCH(C855,Customers!$A$5:$A$204,0))&amp;"",""))</f>
        <v/>
      </c>
      <c r="U855" s="38" t="str">
        <f aca="false">IF(A855="","",IF(T855&lt;&gt;"","B2B",IF(AND(O855="Yes",SUMIF($A$5:$A$1004,A855,$L$5:$L$1004)+SUMIF($A$5:$A$1004,A855,$P$5:$P$1004)&gt;100000),"B2CL","B2CS")))</f>
        <v/>
      </c>
      <c r="V855" s="17" t="str">
        <f aca="false">IF(A855="","",TEXT(B855,"mmm-yyyy"))</f>
        <v/>
      </c>
    </row>
    <row r="856" customFormat="false" ht="15" hidden="false" customHeight="true" outlineLevel="0" collapsed="false">
      <c r="A856" s="24"/>
      <c r="B856" s="39"/>
      <c r="C856" s="24"/>
      <c r="D856" s="24"/>
      <c r="E856" s="40"/>
      <c r="F856" s="29"/>
      <c r="G856" s="30"/>
      <c r="H856" s="17" t="str">
        <f aca="false">IF(A856="","",A856&amp;"|"&amp;COUNTIF(A$5:A856,A856))</f>
        <v/>
      </c>
      <c r="I856" s="33" t="str">
        <f aca="false">IF(A856="","",IFERROR(INDEX(Items!$B$5:$B$304,MATCH(D856,Items!$A$5:$A$304,0))&amp;"",""))</f>
        <v/>
      </c>
      <c r="J856" s="34" t="str">
        <f aca="false">IF(A856="","",IFERROR(INDEX(Items!$C$5:$C$304,MATCH(D856,Items!$A$5:$A$304,0))&amp;"",""))</f>
        <v/>
      </c>
      <c r="K856" s="35" t="n">
        <f aca="false">IF(A856="",0,IF(ISNUMBER(F856),F856,IFERROR(INDEX(Items!$D$5:$D$304,MATCH(D856,Items!$A$5:$A$304,0)),0)))</f>
        <v>0</v>
      </c>
      <c r="L856" s="35" t="n">
        <f aca="false">ROUND(N(E856)*K856*(1-N(G856)),2)</f>
        <v>0</v>
      </c>
      <c r="M856" s="36" t="n">
        <f aca="false">IF(A856="",0,IFERROR(INDEX(Items!$E$5:$E$304,MATCH(D856,Items!$A$5:$A$304,0)),0))</f>
        <v>0</v>
      </c>
      <c r="N856" s="37" t="str">
        <f aca="false">IF(A856="","",IFERROR(INDEX(Customers!$E$5:$E$204,MATCH(C856,Customers!$A$5:$A$204,0)),"?"))</f>
        <v/>
      </c>
      <c r="O856" s="38" t="str">
        <f aca="false">IF(A856="","",IF(N856=Settings!$B$17,"No","Yes"))</f>
        <v/>
      </c>
      <c r="P856" s="35" t="n">
        <f aca="false">IF(O856="Yes",ROUND(L856*M856,2),0)</f>
        <v>0</v>
      </c>
      <c r="Q856" s="35" t="n">
        <f aca="false">IF(O856="No",ROUND(L856*M856/2,2),0)</f>
        <v>0</v>
      </c>
      <c r="R856" s="35" t="n">
        <f aca="false">Q856</f>
        <v>0</v>
      </c>
      <c r="S856" s="35" t="n">
        <f aca="false">L856+P856+Q856+R856</f>
        <v>0</v>
      </c>
      <c r="T856" s="34" t="str">
        <f aca="false">IF(A856="","",IFERROR(INDEX(Customers!$B$5:$B$204,MATCH(C856,Customers!$A$5:$A$204,0))&amp;"",""))</f>
        <v/>
      </c>
      <c r="U856" s="38" t="str">
        <f aca="false">IF(A856="","",IF(T856&lt;&gt;"","B2B",IF(AND(O856="Yes",SUMIF($A$5:$A$1004,A856,$L$5:$L$1004)+SUMIF($A$5:$A$1004,A856,$P$5:$P$1004)&gt;100000),"B2CL","B2CS")))</f>
        <v/>
      </c>
      <c r="V856" s="17" t="str">
        <f aca="false">IF(A856="","",TEXT(B856,"mmm-yyyy"))</f>
        <v/>
      </c>
    </row>
    <row r="857" customFormat="false" ht="15" hidden="false" customHeight="true" outlineLevel="0" collapsed="false">
      <c r="A857" s="24"/>
      <c r="B857" s="39"/>
      <c r="C857" s="24"/>
      <c r="D857" s="24"/>
      <c r="E857" s="40"/>
      <c r="F857" s="29"/>
      <c r="G857" s="30"/>
      <c r="H857" s="17" t="str">
        <f aca="false">IF(A857="","",A857&amp;"|"&amp;COUNTIF(A$5:A857,A857))</f>
        <v/>
      </c>
      <c r="I857" s="33" t="str">
        <f aca="false">IF(A857="","",IFERROR(INDEX(Items!$B$5:$B$304,MATCH(D857,Items!$A$5:$A$304,0))&amp;"",""))</f>
        <v/>
      </c>
      <c r="J857" s="34" t="str">
        <f aca="false">IF(A857="","",IFERROR(INDEX(Items!$C$5:$C$304,MATCH(D857,Items!$A$5:$A$304,0))&amp;"",""))</f>
        <v/>
      </c>
      <c r="K857" s="35" t="n">
        <f aca="false">IF(A857="",0,IF(ISNUMBER(F857),F857,IFERROR(INDEX(Items!$D$5:$D$304,MATCH(D857,Items!$A$5:$A$304,0)),0)))</f>
        <v>0</v>
      </c>
      <c r="L857" s="35" t="n">
        <f aca="false">ROUND(N(E857)*K857*(1-N(G857)),2)</f>
        <v>0</v>
      </c>
      <c r="M857" s="36" t="n">
        <f aca="false">IF(A857="",0,IFERROR(INDEX(Items!$E$5:$E$304,MATCH(D857,Items!$A$5:$A$304,0)),0))</f>
        <v>0</v>
      </c>
      <c r="N857" s="37" t="str">
        <f aca="false">IF(A857="","",IFERROR(INDEX(Customers!$E$5:$E$204,MATCH(C857,Customers!$A$5:$A$204,0)),"?"))</f>
        <v/>
      </c>
      <c r="O857" s="38" t="str">
        <f aca="false">IF(A857="","",IF(N857=Settings!$B$17,"No","Yes"))</f>
        <v/>
      </c>
      <c r="P857" s="35" t="n">
        <f aca="false">IF(O857="Yes",ROUND(L857*M857,2),0)</f>
        <v>0</v>
      </c>
      <c r="Q857" s="35" t="n">
        <f aca="false">IF(O857="No",ROUND(L857*M857/2,2),0)</f>
        <v>0</v>
      </c>
      <c r="R857" s="35" t="n">
        <f aca="false">Q857</f>
        <v>0</v>
      </c>
      <c r="S857" s="35" t="n">
        <f aca="false">L857+P857+Q857+R857</f>
        <v>0</v>
      </c>
      <c r="T857" s="34" t="str">
        <f aca="false">IF(A857="","",IFERROR(INDEX(Customers!$B$5:$B$204,MATCH(C857,Customers!$A$5:$A$204,0))&amp;"",""))</f>
        <v/>
      </c>
      <c r="U857" s="38" t="str">
        <f aca="false">IF(A857="","",IF(T857&lt;&gt;"","B2B",IF(AND(O857="Yes",SUMIF($A$5:$A$1004,A857,$L$5:$L$1004)+SUMIF($A$5:$A$1004,A857,$P$5:$P$1004)&gt;100000),"B2CL","B2CS")))</f>
        <v/>
      </c>
      <c r="V857" s="17" t="str">
        <f aca="false">IF(A857="","",TEXT(B857,"mmm-yyyy"))</f>
        <v/>
      </c>
    </row>
    <row r="858" customFormat="false" ht="15" hidden="false" customHeight="true" outlineLevel="0" collapsed="false">
      <c r="A858" s="24"/>
      <c r="B858" s="39"/>
      <c r="C858" s="24"/>
      <c r="D858" s="24"/>
      <c r="E858" s="40"/>
      <c r="F858" s="29"/>
      <c r="G858" s="30"/>
      <c r="H858" s="17" t="str">
        <f aca="false">IF(A858="","",A858&amp;"|"&amp;COUNTIF(A$5:A858,A858))</f>
        <v/>
      </c>
      <c r="I858" s="33" t="str">
        <f aca="false">IF(A858="","",IFERROR(INDEX(Items!$B$5:$B$304,MATCH(D858,Items!$A$5:$A$304,0))&amp;"",""))</f>
        <v/>
      </c>
      <c r="J858" s="34" t="str">
        <f aca="false">IF(A858="","",IFERROR(INDEX(Items!$C$5:$C$304,MATCH(D858,Items!$A$5:$A$304,0))&amp;"",""))</f>
        <v/>
      </c>
      <c r="K858" s="35" t="n">
        <f aca="false">IF(A858="",0,IF(ISNUMBER(F858),F858,IFERROR(INDEX(Items!$D$5:$D$304,MATCH(D858,Items!$A$5:$A$304,0)),0)))</f>
        <v>0</v>
      </c>
      <c r="L858" s="35" t="n">
        <f aca="false">ROUND(N(E858)*K858*(1-N(G858)),2)</f>
        <v>0</v>
      </c>
      <c r="M858" s="36" t="n">
        <f aca="false">IF(A858="",0,IFERROR(INDEX(Items!$E$5:$E$304,MATCH(D858,Items!$A$5:$A$304,0)),0))</f>
        <v>0</v>
      </c>
      <c r="N858" s="37" t="str">
        <f aca="false">IF(A858="","",IFERROR(INDEX(Customers!$E$5:$E$204,MATCH(C858,Customers!$A$5:$A$204,0)),"?"))</f>
        <v/>
      </c>
      <c r="O858" s="38" t="str">
        <f aca="false">IF(A858="","",IF(N858=Settings!$B$17,"No","Yes"))</f>
        <v/>
      </c>
      <c r="P858" s="35" t="n">
        <f aca="false">IF(O858="Yes",ROUND(L858*M858,2),0)</f>
        <v>0</v>
      </c>
      <c r="Q858" s="35" t="n">
        <f aca="false">IF(O858="No",ROUND(L858*M858/2,2),0)</f>
        <v>0</v>
      </c>
      <c r="R858" s="35" t="n">
        <f aca="false">Q858</f>
        <v>0</v>
      </c>
      <c r="S858" s="35" t="n">
        <f aca="false">L858+P858+Q858+R858</f>
        <v>0</v>
      </c>
      <c r="T858" s="34" t="str">
        <f aca="false">IF(A858="","",IFERROR(INDEX(Customers!$B$5:$B$204,MATCH(C858,Customers!$A$5:$A$204,0))&amp;"",""))</f>
        <v/>
      </c>
      <c r="U858" s="38" t="str">
        <f aca="false">IF(A858="","",IF(T858&lt;&gt;"","B2B",IF(AND(O858="Yes",SUMIF($A$5:$A$1004,A858,$L$5:$L$1004)+SUMIF($A$5:$A$1004,A858,$P$5:$P$1004)&gt;100000),"B2CL","B2CS")))</f>
        <v/>
      </c>
      <c r="V858" s="17" t="str">
        <f aca="false">IF(A858="","",TEXT(B858,"mmm-yyyy"))</f>
        <v/>
      </c>
    </row>
    <row r="859" customFormat="false" ht="15" hidden="false" customHeight="true" outlineLevel="0" collapsed="false">
      <c r="A859" s="24"/>
      <c r="B859" s="39"/>
      <c r="C859" s="24"/>
      <c r="D859" s="24"/>
      <c r="E859" s="40"/>
      <c r="F859" s="29"/>
      <c r="G859" s="30"/>
      <c r="H859" s="17" t="str">
        <f aca="false">IF(A859="","",A859&amp;"|"&amp;COUNTIF(A$5:A859,A859))</f>
        <v/>
      </c>
      <c r="I859" s="33" t="str">
        <f aca="false">IF(A859="","",IFERROR(INDEX(Items!$B$5:$B$304,MATCH(D859,Items!$A$5:$A$304,0))&amp;"",""))</f>
        <v/>
      </c>
      <c r="J859" s="34" t="str">
        <f aca="false">IF(A859="","",IFERROR(INDEX(Items!$C$5:$C$304,MATCH(D859,Items!$A$5:$A$304,0))&amp;"",""))</f>
        <v/>
      </c>
      <c r="K859" s="35" t="n">
        <f aca="false">IF(A859="",0,IF(ISNUMBER(F859),F859,IFERROR(INDEX(Items!$D$5:$D$304,MATCH(D859,Items!$A$5:$A$304,0)),0)))</f>
        <v>0</v>
      </c>
      <c r="L859" s="35" t="n">
        <f aca="false">ROUND(N(E859)*K859*(1-N(G859)),2)</f>
        <v>0</v>
      </c>
      <c r="M859" s="36" t="n">
        <f aca="false">IF(A859="",0,IFERROR(INDEX(Items!$E$5:$E$304,MATCH(D859,Items!$A$5:$A$304,0)),0))</f>
        <v>0</v>
      </c>
      <c r="N859" s="37" t="str">
        <f aca="false">IF(A859="","",IFERROR(INDEX(Customers!$E$5:$E$204,MATCH(C859,Customers!$A$5:$A$204,0)),"?"))</f>
        <v/>
      </c>
      <c r="O859" s="38" t="str">
        <f aca="false">IF(A859="","",IF(N859=Settings!$B$17,"No","Yes"))</f>
        <v/>
      </c>
      <c r="P859" s="35" t="n">
        <f aca="false">IF(O859="Yes",ROUND(L859*M859,2),0)</f>
        <v>0</v>
      </c>
      <c r="Q859" s="35" t="n">
        <f aca="false">IF(O859="No",ROUND(L859*M859/2,2),0)</f>
        <v>0</v>
      </c>
      <c r="R859" s="35" t="n">
        <f aca="false">Q859</f>
        <v>0</v>
      </c>
      <c r="S859" s="35" t="n">
        <f aca="false">L859+P859+Q859+R859</f>
        <v>0</v>
      </c>
      <c r="T859" s="34" t="str">
        <f aca="false">IF(A859="","",IFERROR(INDEX(Customers!$B$5:$B$204,MATCH(C859,Customers!$A$5:$A$204,0))&amp;"",""))</f>
        <v/>
      </c>
      <c r="U859" s="38" t="str">
        <f aca="false">IF(A859="","",IF(T859&lt;&gt;"","B2B",IF(AND(O859="Yes",SUMIF($A$5:$A$1004,A859,$L$5:$L$1004)+SUMIF($A$5:$A$1004,A859,$P$5:$P$1004)&gt;100000),"B2CL","B2CS")))</f>
        <v/>
      </c>
      <c r="V859" s="17" t="str">
        <f aca="false">IF(A859="","",TEXT(B859,"mmm-yyyy"))</f>
        <v/>
      </c>
    </row>
    <row r="860" customFormat="false" ht="15" hidden="false" customHeight="true" outlineLevel="0" collapsed="false">
      <c r="A860" s="24"/>
      <c r="B860" s="39"/>
      <c r="C860" s="24"/>
      <c r="D860" s="24"/>
      <c r="E860" s="40"/>
      <c r="F860" s="29"/>
      <c r="G860" s="30"/>
      <c r="H860" s="17" t="str">
        <f aca="false">IF(A860="","",A860&amp;"|"&amp;COUNTIF(A$5:A860,A860))</f>
        <v/>
      </c>
      <c r="I860" s="33" t="str">
        <f aca="false">IF(A860="","",IFERROR(INDEX(Items!$B$5:$B$304,MATCH(D860,Items!$A$5:$A$304,0))&amp;"",""))</f>
        <v/>
      </c>
      <c r="J860" s="34" t="str">
        <f aca="false">IF(A860="","",IFERROR(INDEX(Items!$C$5:$C$304,MATCH(D860,Items!$A$5:$A$304,0))&amp;"",""))</f>
        <v/>
      </c>
      <c r="K860" s="35" t="n">
        <f aca="false">IF(A860="",0,IF(ISNUMBER(F860),F860,IFERROR(INDEX(Items!$D$5:$D$304,MATCH(D860,Items!$A$5:$A$304,0)),0)))</f>
        <v>0</v>
      </c>
      <c r="L860" s="35" t="n">
        <f aca="false">ROUND(N(E860)*K860*(1-N(G860)),2)</f>
        <v>0</v>
      </c>
      <c r="M860" s="36" t="n">
        <f aca="false">IF(A860="",0,IFERROR(INDEX(Items!$E$5:$E$304,MATCH(D860,Items!$A$5:$A$304,0)),0))</f>
        <v>0</v>
      </c>
      <c r="N860" s="37" t="str">
        <f aca="false">IF(A860="","",IFERROR(INDEX(Customers!$E$5:$E$204,MATCH(C860,Customers!$A$5:$A$204,0)),"?"))</f>
        <v/>
      </c>
      <c r="O860" s="38" t="str">
        <f aca="false">IF(A860="","",IF(N860=Settings!$B$17,"No","Yes"))</f>
        <v/>
      </c>
      <c r="P860" s="35" t="n">
        <f aca="false">IF(O860="Yes",ROUND(L860*M860,2),0)</f>
        <v>0</v>
      </c>
      <c r="Q860" s="35" t="n">
        <f aca="false">IF(O860="No",ROUND(L860*M860/2,2),0)</f>
        <v>0</v>
      </c>
      <c r="R860" s="35" t="n">
        <f aca="false">Q860</f>
        <v>0</v>
      </c>
      <c r="S860" s="35" t="n">
        <f aca="false">L860+P860+Q860+R860</f>
        <v>0</v>
      </c>
      <c r="T860" s="34" t="str">
        <f aca="false">IF(A860="","",IFERROR(INDEX(Customers!$B$5:$B$204,MATCH(C860,Customers!$A$5:$A$204,0))&amp;"",""))</f>
        <v/>
      </c>
      <c r="U860" s="38" t="str">
        <f aca="false">IF(A860="","",IF(T860&lt;&gt;"","B2B",IF(AND(O860="Yes",SUMIF($A$5:$A$1004,A860,$L$5:$L$1004)+SUMIF($A$5:$A$1004,A860,$P$5:$P$1004)&gt;100000),"B2CL","B2CS")))</f>
        <v/>
      </c>
      <c r="V860" s="17" t="str">
        <f aca="false">IF(A860="","",TEXT(B860,"mmm-yyyy"))</f>
        <v/>
      </c>
    </row>
    <row r="861" customFormat="false" ht="15" hidden="false" customHeight="true" outlineLevel="0" collapsed="false">
      <c r="A861" s="24"/>
      <c r="B861" s="39"/>
      <c r="C861" s="24"/>
      <c r="D861" s="24"/>
      <c r="E861" s="40"/>
      <c r="F861" s="29"/>
      <c r="G861" s="30"/>
      <c r="H861" s="17" t="str">
        <f aca="false">IF(A861="","",A861&amp;"|"&amp;COUNTIF(A$5:A861,A861))</f>
        <v/>
      </c>
      <c r="I861" s="33" t="str">
        <f aca="false">IF(A861="","",IFERROR(INDEX(Items!$B$5:$B$304,MATCH(D861,Items!$A$5:$A$304,0))&amp;"",""))</f>
        <v/>
      </c>
      <c r="J861" s="34" t="str">
        <f aca="false">IF(A861="","",IFERROR(INDEX(Items!$C$5:$C$304,MATCH(D861,Items!$A$5:$A$304,0))&amp;"",""))</f>
        <v/>
      </c>
      <c r="K861" s="35" t="n">
        <f aca="false">IF(A861="",0,IF(ISNUMBER(F861),F861,IFERROR(INDEX(Items!$D$5:$D$304,MATCH(D861,Items!$A$5:$A$304,0)),0)))</f>
        <v>0</v>
      </c>
      <c r="L861" s="35" t="n">
        <f aca="false">ROUND(N(E861)*K861*(1-N(G861)),2)</f>
        <v>0</v>
      </c>
      <c r="M861" s="36" t="n">
        <f aca="false">IF(A861="",0,IFERROR(INDEX(Items!$E$5:$E$304,MATCH(D861,Items!$A$5:$A$304,0)),0))</f>
        <v>0</v>
      </c>
      <c r="N861" s="37" t="str">
        <f aca="false">IF(A861="","",IFERROR(INDEX(Customers!$E$5:$E$204,MATCH(C861,Customers!$A$5:$A$204,0)),"?"))</f>
        <v/>
      </c>
      <c r="O861" s="38" t="str">
        <f aca="false">IF(A861="","",IF(N861=Settings!$B$17,"No","Yes"))</f>
        <v/>
      </c>
      <c r="P861" s="35" t="n">
        <f aca="false">IF(O861="Yes",ROUND(L861*M861,2),0)</f>
        <v>0</v>
      </c>
      <c r="Q861" s="35" t="n">
        <f aca="false">IF(O861="No",ROUND(L861*M861/2,2),0)</f>
        <v>0</v>
      </c>
      <c r="R861" s="35" t="n">
        <f aca="false">Q861</f>
        <v>0</v>
      </c>
      <c r="S861" s="35" t="n">
        <f aca="false">L861+P861+Q861+R861</f>
        <v>0</v>
      </c>
      <c r="T861" s="34" t="str">
        <f aca="false">IF(A861="","",IFERROR(INDEX(Customers!$B$5:$B$204,MATCH(C861,Customers!$A$5:$A$204,0))&amp;"",""))</f>
        <v/>
      </c>
      <c r="U861" s="38" t="str">
        <f aca="false">IF(A861="","",IF(T861&lt;&gt;"","B2B",IF(AND(O861="Yes",SUMIF($A$5:$A$1004,A861,$L$5:$L$1004)+SUMIF($A$5:$A$1004,A861,$P$5:$P$1004)&gt;100000),"B2CL","B2CS")))</f>
        <v/>
      </c>
      <c r="V861" s="17" t="str">
        <f aca="false">IF(A861="","",TEXT(B861,"mmm-yyyy"))</f>
        <v/>
      </c>
    </row>
    <row r="862" customFormat="false" ht="15" hidden="false" customHeight="true" outlineLevel="0" collapsed="false">
      <c r="A862" s="24"/>
      <c r="B862" s="39"/>
      <c r="C862" s="24"/>
      <c r="D862" s="24"/>
      <c r="E862" s="40"/>
      <c r="F862" s="29"/>
      <c r="G862" s="30"/>
      <c r="H862" s="17" t="str">
        <f aca="false">IF(A862="","",A862&amp;"|"&amp;COUNTIF(A$5:A862,A862))</f>
        <v/>
      </c>
      <c r="I862" s="33" t="str">
        <f aca="false">IF(A862="","",IFERROR(INDEX(Items!$B$5:$B$304,MATCH(D862,Items!$A$5:$A$304,0))&amp;"",""))</f>
        <v/>
      </c>
      <c r="J862" s="34" t="str">
        <f aca="false">IF(A862="","",IFERROR(INDEX(Items!$C$5:$C$304,MATCH(D862,Items!$A$5:$A$304,0))&amp;"",""))</f>
        <v/>
      </c>
      <c r="K862" s="35" t="n">
        <f aca="false">IF(A862="",0,IF(ISNUMBER(F862),F862,IFERROR(INDEX(Items!$D$5:$D$304,MATCH(D862,Items!$A$5:$A$304,0)),0)))</f>
        <v>0</v>
      </c>
      <c r="L862" s="35" t="n">
        <f aca="false">ROUND(N(E862)*K862*(1-N(G862)),2)</f>
        <v>0</v>
      </c>
      <c r="M862" s="36" t="n">
        <f aca="false">IF(A862="",0,IFERROR(INDEX(Items!$E$5:$E$304,MATCH(D862,Items!$A$5:$A$304,0)),0))</f>
        <v>0</v>
      </c>
      <c r="N862" s="37" t="str">
        <f aca="false">IF(A862="","",IFERROR(INDEX(Customers!$E$5:$E$204,MATCH(C862,Customers!$A$5:$A$204,0)),"?"))</f>
        <v/>
      </c>
      <c r="O862" s="38" t="str">
        <f aca="false">IF(A862="","",IF(N862=Settings!$B$17,"No","Yes"))</f>
        <v/>
      </c>
      <c r="P862" s="35" t="n">
        <f aca="false">IF(O862="Yes",ROUND(L862*M862,2),0)</f>
        <v>0</v>
      </c>
      <c r="Q862" s="35" t="n">
        <f aca="false">IF(O862="No",ROUND(L862*M862/2,2),0)</f>
        <v>0</v>
      </c>
      <c r="R862" s="35" t="n">
        <f aca="false">Q862</f>
        <v>0</v>
      </c>
      <c r="S862" s="35" t="n">
        <f aca="false">L862+P862+Q862+R862</f>
        <v>0</v>
      </c>
      <c r="T862" s="34" t="str">
        <f aca="false">IF(A862="","",IFERROR(INDEX(Customers!$B$5:$B$204,MATCH(C862,Customers!$A$5:$A$204,0))&amp;"",""))</f>
        <v/>
      </c>
      <c r="U862" s="38" t="str">
        <f aca="false">IF(A862="","",IF(T862&lt;&gt;"","B2B",IF(AND(O862="Yes",SUMIF($A$5:$A$1004,A862,$L$5:$L$1004)+SUMIF($A$5:$A$1004,A862,$P$5:$P$1004)&gt;100000),"B2CL","B2CS")))</f>
        <v/>
      </c>
      <c r="V862" s="17" t="str">
        <f aca="false">IF(A862="","",TEXT(B862,"mmm-yyyy"))</f>
        <v/>
      </c>
    </row>
    <row r="863" customFormat="false" ht="15" hidden="false" customHeight="true" outlineLevel="0" collapsed="false">
      <c r="A863" s="24"/>
      <c r="B863" s="39"/>
      <c r="C863" s="24"/>
      <c r="D863" s="24"/>
      <c r="E863" s="40"/>
      <c r="F863" s="29"/>
      <c r="G863" s="30"/>
      <c r="H863" s="17" t="str">
        <f aca="false">IF(A863="","",A863&amp;"|"&amp;COUNTIF(A$5:A863,A863))</f>
        <v/>
      </c>
      <c r="I863" s="33" t="str">
        <f aca="false">IF(A863="","",IFERROR(INDEX(Items!$B$5:$B$304,MATCH(D863,Items!$A$5:$A$304,0))&amp;"",""))</f>
        <v/>
      </c>
      <c r="J863" s="34" t="str">
        <f aca="false">IF(A863="","",IFERROR(INDEX(Items!$C$5:$C$304,MATCH(D863,Items!$A$5:$A$304,0))&amp;"",""))</f>
        <v/>
      </c>
      <c r="K863" s="35" t="n">
        <f aca="false">IF(A863="",0,IF(ISNUMBER(F863),F863,IFERROR(INDEX(Items!$D$5:$D$304,MATCH(D863,Items!$A$5:$A$304,0)),0)))</f>
        <v>0</v>
      </c>
      <c r="L863" s="35" t="n">
        <f aca="false">ROUND(N(E863)*K863*(1-N(G863)),2)</f>
        <v>0</v>
      </c>
      <c r="M863" s="36" t="n">
        <f aca="false">IF(A863="",0,IFERROR(INDEX(Items!$E$5:$E$304,MATCH(D863,Items!$A$5:$A$304,0)),0))</f>
        <v>0</v>
      </c>
      <c r="N863" s="37" t="str">
        <f aca="false">IF(A863="","",IFERROR(INDEX(Customers!$E$5:$E$204,MATCH(C863,Customers!$A$5:$A$204,0)),"?"))</f>
        <v/>
      </c>
      <c r="O863" s="38" t="str">
        <f aca="false">IF(A863="","",IF(N863=Settings!$B$17,"No","Yes"))</f>
        <v/>
      </c>
      <c r="P863" s="35" t="n">
        <f aca="false">IF(O863="Yes",ROUND(L863*M863,2),0)</f>
        <v>0</v>
      </c>
      <c r="Q863" s="35" t="n">
        <f aca="false">IF(O863="No",ROUND(L863*M863/2,2),0)</f>
        <v>0</v>
      </c>
      <c r="R863" s="35" t="n">
        <f aca="false">Q863</f>
        <v>0</v>
      </c>
      <c r="S863" s="35" t="n">
        <f aca="false">L863+P863+Q863+R863</f>
        <v>0</v>
      </c>
      <c r="T863" s="34" t="str">
        <f aca="false">IF(A863="","",IFERROR(INDEX(Customers!$B$5:$B$204,MATCH(C863,Customers!$A$5:$A$204,0))&amp;"",""))</f>
        <v/>
      </c>
      <c r="U863" s="38" t="str">
        <f aca="false">IF(A863="","",IF(T863&lt;&gt;"","B2B",IF(AND(O863="Yes",SUMIF($A$5:$A$1004,A863,$L$5:$L$1004)+SUMIF($A$5:$A$1004,A863,$P$5:$P$1004)&gt;100000),"B2CL","B2CS")))</f>
        <v/>
      </c>
      <c r="V863" s="17" t="str">
        <f aca="false">IF(A863="","",TEXT(B863,"mmm-yyyy"))</f>
        <v/>
      </c>
    </row>
    <row r="864" customFormat="false" ht="15" hidden="false" customHeight="true" outlineLevel="0" collapsed="false">
      <c r="A864" s="24"/>
      <c r="B864" s="39"/>
      <c r="C864" s="24"/>
      <c r="D864" s="24"/>
      <c r="E864" s="40"/>
      <c r="F864" s="29"/>
      <c r="G864" s="30"/>
      <c r="H864" s="17" t="str">
        <f aca="false">IF(A864="","",A864&amp;"|"&amp;COUNTIF(A$5:A864,A864))</f>
        <v/>
      </c>
      <c r="I864" s="33" t="str">
        <f aca="false">IF(A864="","",IFERROR(INDEX(Items!$B$5:$B$304,MATCH(D864,Items!$A$5:$A$304,0))&amp;"",""))</f>
        <v/>
      </c>
      <c r="J864" s="34" t="str">
        <f aca="false">IF(A864="","",IFERROR(INDEX(Items!$C$5:$C$304,MATCH(D864,Items!$A$5:$A$304,0))&amp;"",""))</f>
        <v/>
      </c>
      <c r="K864" s="35" t="n">
        <f aca="false">IF(A864="",0,IF(ISNUMBER(F864),F864,IFERROR(INDEX(Items!$D$5:$D$304,MATCH(D864,Items!$A$5:$A$304,0)),0)))</f>
        <v>0</v>
      </c>
      <c r="L864" s="35" t="n">
        <f aca="false">ROUND(N(E864)*K864*(1-N(G864)),2)</f>
        <v>0</v>
      </c>
      <c r="M864" s="36" t="n">
        <f aca="false">IF(A864="",0,IFERROR(INDEX(Items!$E$5:$E$304,MATCH(D864,Items!$A$5:$A$304,0)),0))</f>
        <v>0</v>
      </c>
      <c r="N864" s="37" t="str">
        <f aca="false">IF(A864="","",IFERROR(INDEX(Customers!$E$5:$E$204,MATCH(C864,Customers!$A$5:$A$204,0)),"?"))</f>
        <v/>
      </c>
      <c r="O864" s="38" t="str">
        <f aca="false">IF(A864="","",IF(N864=Settings!$B$17,"No","Yes"))</f>
        <v/>
      </c>
      <c r="P864" s="35" t="n">
        <f aca="false">IF(O864="Yes",ROUND(L864*M864,2),0)</f>
        <v>0</v>
      </c>
      <c r="Q864" s="35" t="n">
        <f aca="false">IF(O864="No",ROUND(L864*M864/2,2),0)</f>
        <v>0</v>
      </c>
      <c r="R864" s="35" t="n">
        <f aca="false">Q864</f>
        <v>0</v>
      </c>
      <c r="S864" s="35" t="n">
        <f aca="false">L864+P864+Q864+R864</f>
        <v>0</v>
      </c>
      <c r="T864" s="34" t="str">
        <f aca="false">IF(A864="","",IFERROR(INDEX(Customers!$B$5:$B$204,MATCH(C864,Customers!$A$5:$A$204,0))&amp;"",""))</f>
        <v/>
      </c>
      <c r="U864" s="38" t="str">
        <f aca="false">IF(A864="","",IF(T864&lt;&gt;"","B2B",IF(AND(O864="Yes",SUMIF($A$5:$A$1004,A864,$L$5:$L$1004)+SUMIF($A$5:$A$1004,A864,$P$5:$P$1004)&gt;100000),"B2CL","B2CS")))</f>
        <v/>
      </c>
      <c r="V864" s="17" t="str">
        <f aca="false">IF(A864="","",TEXT(B864,"mmm-yyyy"))</f>
        <v/>
      </c>
    </row>
    <row r="865" customFormat="false" ht="15" hidden="false" customHeight="true" outlineLevel="0" collapsed="false">
      <c r="A865" s="24"/>
      <c r="B865" s="39"/>
      <c r="C865" s="24"/>
      <c r="D865" s="24"/>
      <c r="E865" s="40"/>
      <c r="F865" s="29"/>
      <c r="G865" s="30"/>
      <c r="H865" s="17" t="str">
        <f aca="false">IF(A865="","",A865&amp;"|"&amp;COUNTIF(A$5:A865,A865))</f>
        <v/>
      </c>
      <c r="I865" s="33" t="str">
        <f aca="false">IF(A865="","",IFERROR(INDEX(Items!$B$5:$B$304,MATCH(D865,Items!$A$5:$A$304,0))&amp;"",""))</f>
        <v/>
      </c>
      <c r="J865" s="34" t="str">
        <f aca="false">IF(A865="","",IFERROR(INDEX(Items!$C$5:$C$304,MATCH(D865,Items!$A$5:$A$304,0))&amp;"",""))</f>
        <v/>
      </c>
      <c r="K865" s="35" t="n">
        <f aca="false">IF(A865="",0,IF(ISNUMBER(F865),F865,IFERROR(INDEX(Items!$D$5:$D$304,MATCH(D865,Items!$A$5:$A$304,0)),0)))</f>
        <v>0</v>
      </c>
      <c r="L865" s="35" t="n">
        <f aca="false">ROUND(N(E865)*K865*(1-N(G865)),2)</f>
        <v>0</v>
      </c>
      <c r="M865" s="36" t="n">
        <f aca="false">IF(A865="",0,IFERROR(INDEX(Items!$E$5:$E$304,MATCH(D865,Items!$A$5:$A$304,0)),0))</f>
        <v>0</v>
      </c>
      <c r="N865" s="37" t="str">
        <f aca="false">IF(A865="","",IFERROR(INDEX(Customers!$E$5:$E$204,MATCH(C865,Customers!$A$5:$A$204,0)),"?"))</f>
        <v/>
      </c>
      <c r="O865" s="38" t="str">
        <f aca="false">IF(A865="","",IF(N865=Settings!$B$17,"No","Yes"))</f>
        <v/>
      </c>
      <c r="P865" s="35" t="n">
        <f aca="false">IF(O865="Yes",ROUND(L865*M865,2),0)</f>
        <v>0</v>
      </c>
      <c r="Q865" s="35" t="n">
        <f aca="false">IF(O865="No",ROUND(L865*M865/2,2),0)</f>
        <v>0</v>
      </c>
      <c r="R865" s="35" t="n">
        <f aca="false">Q865</f>
        <v>0</v>
      </c>
      <c r="S865" s="35" t="n">
        <f aca="false">L865+P865+Q865+R865</f>
        <v>0</v>
      </c>
      <c r="T865" s="34" t="str">
        <f aca="false">IF(A865="","",IFERROR(INDEX(Customers!$B$5:$B$204,MATCH(C865,Customers!$A$5:$A$204,0))&amp;"",""))</f>
        <v/>
      </c>
      <c r="U865" s="38" t="str">
        <f aca="false">IF(A865="","",IF(T865&lt;&gt;"","B2B",IF(AND(O865="Yes",SUMIF($A$5:$A$1004,A865,$L$5:$L$1004)+SUMIF($A$5:$A$1004,A865,$P$5:$P$1004)&gt;100000),"B2CL","B2CS")))</f>
        <v/>
      </c>
      <c r="V865" s="17" t="str">
        <f aca="false">IF(A865="","",TEXT(B865,"mmm-yyyy"))</f>
        <v/>
      </c>
    </row>
    <row r="866" customFormat="false" ht="15" hidden="false" customHeight="true" outlineLevel="0" collapsed="false">
      <c r="A866" s="24"/>
      <c r="B866" s="39"/>
      <c r="C866" s="24"/>
      <c r="D866" s="24"/>
      <c r="E866" s="40"/>
      <c r="F866" s="29"/>
      <c r="G866" s="30"/>
      <c r="H866" s="17" t="str">
        <f aca="false">IF(A866="","",A866&amp;"|"&amp;COUNTIF(A$5:A866,A866))</f>
        <v/>
      </c>
      <c r="I866" s="33" t="str">
        <f aca="false">IF(A866="","",IFERROR(INDEX(Items!$B$5:$B$304,MATCH(D866,Items!$A$5:$A$304,0))&amp;"",""))</f>
        <v/>
      </c>
      <c r="J866" s="34" t="str">
        <f aca="false">IF(A866="","",IFERROR(INDEX(Items!$C$5:$C$304,MATCH(D866,Items!$A$5:$A$304,0))&amp;"",""))</f>
        <v/>
      </c>
      <c r="K866" s="35" t="n">
        <f aca="false">IF(A866="",0,IF(ISNUMBER(F866),F866,IFERROR(INDEX(Items!$D$5:$D$304,MATCH(D866,Items!$A$5:$A$304,0)),0)))</f>
        <v>0</v>
      </c>
      <c r="L866" s="35" t="n">
        <f aca="false">ROUND(N(E866)*K866*(1-N(G866)),2)</f>
        <v>0</v>
      </c>
      <c r="M866" s="36" t="n">
        <f aca="false">IF(A866="",0,IFERROR(INDEX(Items!$E$5:$E$304,MATCH(D866,Items!$A$5:$A$304,0)),0))</f>
        <v>0</v>
      </c>
      <c r="N866" s="37" t="str">
        <f aca="false">IF(A866="","",IFERROR(INDEX(Customers!$E$5:$E$204,MATCH(C866,Customers!$A$5:$A$204,0)),"?"))</f>
        <v/>
      </c>
      <c r="O866" s="38" t="str">
        <f aca="false">IF(A866="","",IF(N866=Settings!$B$17,"No","Yes"))</f>
        <v/>
      </c>
      <c r="P866" s="35" t="n">
        <f aca="false">IF(O866="Yes",ROUND(L866*M866,2),0)</f>
        <v>0</v>
      </c>
      <c r="Q866" s="35" t="n">
        <f aca="false">IF(O866="No",ROUND(L866*M866/2,2),0)</f>
        <v>0</v>
      </c>
      <c r="R866" s="35" t="n">
        <f aca="false">Q866</f>
        <v>0</v>
      </c>
      <c r="S866" s="35" t="n">
        <f aca="false">L866+P866+Q866+R866</f>
        <v>0</v>
      </c>
      <c r="T866" s="34" t="str">
        <f aca="false">IF(A866="","",IFERROR(INDEX(Customers!$B$5:$B$204,MATCH(C866,Customers!$A$5:$A$204,0))&amp;"",""))</f>
        <v/>
      </c>
      <c r="U866" s="38" t="str">
        <f aca="false">IF(A866="","",IF(T866&lt;&gt;"","B2B",IF(AND(O866="Yes",SUMIF($A$5:$A$1004,A866,$L$5:$L$1004)+SUMIF($A$5:$A$1004,A866,$P$5:$P$1004)&gt;100000),"B2CL","B2CS")))</f>
        <v/>
      </c>
      <c r="V866" s="17" t="str">
        <f aca="false">IF(A866="","",TEXT(B866,"mmm-yyyy"))</f>
        <v/>
      </c>
    </row>
    <row r="867" customFormat="false" ht="15" hidden="false" customHeight="true" outlineLevel="0" collapsed="false">
      <c r="A867" s="24"/>
      <c r="B867" s="39"/>
      <c r="C867" s="24"/>
      <c r="D867" s="24"/>
      <c r="E867" s="40"/>
      <c r="F867" s="29"/>
      <c r="G867" s="30"/>
      <c r="H867" s="17" t="str">
        <f aca="false">IF(A867="","",A867&amp;"|"&amp;COUNTIF(A$5:A867,A867))</f>
        <v/>
      </c>
      <c r="I867" s="33" t="str">
        <f aca="false">IF(A867="","",IFERROR(INDEX(Items!$B$5:$B$304,MATCH(D867,Items!$A$5:$A$304,0))&amp;"",""))</f>
        <v/>
      </c>
      <c r="J867" s="34" t="str">
        <f aca="false">IF(A867="","",IFERROR(INDEX(Items!$C$5:$C$304,MATCH(D867,Items!$A$5:$A$304,0))&amp;"",""))</f>
        <v/>
      </c>
      <c r="K867" s="35" t="n">
        <f aca="false">IF(A867="",0,IF(ISNUMBER(F867),F867,IFERROR(INDEX(Items!$D$5:$D$304,MATCH(D867,Items!$A$5:$A$304,0)),0)))</f>
        <v>0</v>
      </c>
      <c r="L867" s="35" t="n">
        <f aca="false">ROUND(N(E867)*K867*(1-N(G867)),2)</f>
        <v>0</v>
      </c>
      <c r="M867" s="36" t="n">
        <f aca="false">IF(A867="",0,IFERROR(INDEX(Items!$E$5:$E$304,MATCH(D867,Items!$A$5:$A$304,0)),0))</f>
        <v>0</v>
      </c>
      <c r="N867" s="37" t="str">
        <f aca="false">IF(A867="","",IFERROR(INDEX(Customers!$E$5:$E$204,MATCH(C867,Customers!$A$5:$A$204,0)),"?"))</f>
        <v/>
      </c>
      <c r="O867" s="38" t="str">
        <f aca="false">IF(A867="","",IF(N867=Settings!$B$17,"No","Yes"))</f>
        <v/>
      </c>
      <c r="P867" s="35" t="n">
        <f aca="false">IF(O867="Yes",ROUND(L867*M867,2),0)</f>
        <v>0</v>
      </c>
      <c r="Q867" s="35" t="n">
        <f aca="false">IF(O867="No",ROUND(L867*M867/2,2),0)</f>
        <v>0</v>
      </c>
      <c r="R867" s="35" t="n">
        <f aca="false">Q867</f>
        <v>0</v>
      </c>
      <c r="S867" s="35" t="n">
        <f aca="false">L867+P867+Q867+R867</f>
        <v>0</v>
      </c>
      <c r="T867" s="34" t="str">
        <f aca="false">IF(A867="","",IFERROR(INDEX(Customers!$B$5:$B$204,MATCH(C867,Customers!$A$5:$A$204,0))&amp;"",""))</f>
        <v/>
      </c>
      <c r="U867" s="38" t="str">
        <f aca="false">IF(A867="","",IF(T867&lt;&gt;"","B2B",IF(AND(O867="Yes",SUMIF($A$5:$A$1004,A867,$L$5:$L$1004)+SUMIF($A$5:$A$1004,A867,$P$5:$P$1004)&gt;100000),"B2CL","B2CS")))</f>
        <v/>
      </c>
      <c r="V867" s="17" t="str">
        <f aca="false">IF(A867="","",TEXT(B867,"mmm-yyyy"))</f>
        <v/>
      </c>
    </row>
    <row r="868" customFormat="false" ht="15" hidden="false" customHeight="true" outlineLevel="0" collapsed="false">
      <c r="A868" s="24"/>
      <c r="B868" s="39"/>
      <c r="C868" s="24"/>
      <c r="D868" s="24"/>
      <c r="E868" s="40"/>
      <c r="F868" s="29"/>
      <c r="G868" s="30"/>
      <c r="H868" s="17" t="str">
        <f aca="false">IF(A868="","",A868&amp;"|"&amp;COUNTIF(A$5:A868,A868))</f>
        <v/>
      </c>
      <c r="I868" s="33" t="str">
        <f aca="false">IF(A868="","",IFERROR(INDEX(Items!$B$5:$B$304,MATCH(D868,Items!$A$5:$A$304,0))&amp;"",""))</f>
        <v/>
      </c>
      <c r="J868" s="34" t="str">
        <f aca="false">IF(A868="","",IFERROR(INDEX(Items!$C$5:$C$304,MATCH(D868,Items!$A$5:$A$304,0))&amp;"",""))</f>
        <v/>
      </c>
      <c r="K868" s="35" t="n">
        <f aca="false">IF(A868="",0,IF(ISNUMBER(F868),F868,IFERROR(INDEX(Items!$D$5:$D$304,MATCH(D868,Items!$A$5:$A$304,0)),0)))</f>
        <v>0</v>
      </c>
      <c r="L868" s="35" t="n">
        <f aca="false">ROUND(N(E868)*K868*(1-N(G868)),2)</f>
        <v>0</v>
      </c>
      <c r="M868" s="36" t="n">
        <f aca="false">IF(A868="",0,IFERROR(INDEX(Items!$E$5:$E$304,MATCH(D868,Items!$A$5:$A$304,0)),0))</f>
        <v>0</v>
      </c>
      <c r="N868" s="37" t="str">
        <f aca="false">IF(A868="","",IFERROR(INDEX(Customers!$E$5:$E$204,MATCH(C868,Customers!$A$5:$A$204,0)),"?"))</f>
        <v/>
      </c>
      <c r="O868" s="38" t="str">
        <f aca="false">IF(A868="","",IF(N868=Settings!$B$17,"No","Yes"))</f>
        <v/>
      </c>
      <c r="P868" s="35" t="n">
        <f aca="false">IF(O868="Yes",ROUND(L868*M868,2),0)</f>
        <v>0</v>
      </c>
      <c r="Q868" s="35" t="n">
        <f aca="false">IF(O868="No",ROUND(L868*M868/2,2),0)</f>
        <v>0</v>
      </c>
      <c r="R868" s="35" t="n">
        <f aca="false">Q868</f>
        <v>0</v>
      </c>
      <c r="S868" s="35" t="n">
        <f aca="false">L868+P868+Q868+R868</f>
        <v>0</v>
      </c>
      <c r="T868" s="34" t="str">
        <f aca="false">IF(A868="","",IFERROR(INDEX(Customers!$B$5:$B$204,MATCH(C868,Customers!$A$5:$A$204,0))&amp;"",""))</f>
        <v/>
      </c>
      <c r="U868" s="38" t="str">
        <f aca="false">IF(A868="","",IF(T868&lt;&gt;"","B2B",IF(AND(O868="Yes",SUMIF($A$5:$A$1004,A868,$L$5:$L$1004)+SUMIF($A$5:$A$1004,A868,$P$5:$P$1004)&gt;100000),"B2CL","B2CS")))</f>
        <v/>
      </c>
      <c r="V868" s="17" t="str">
        <f aca="false">IF(A868="","",TEXT(B868,"mmm-yyyy"))</f>
        <v/>
      </c>
    </row>
    <row r="869" customFormat="false" ht="15" hidden="false" customHeight="true" outlineLevel="0" collapsed="false">
      <c r="A869" s="24"/>
      <c r="B869" s="39"/>
      <c r="C869" s="24"/>
      <c r="D869" s="24"/>
      <c r="E869" s="40"/>
      <c r="F869" s="29"/>
      <c r="G869" s="30"/>
      <c r="H869" s="17" t="str">
        <f aca="false">IF(A869="","",A869&amp;"|"&amp;COUNTIF(A$5:A869,A869))</f>
        <v/>
      </c>
      <c r="I869" s="33" t="str">
        <f aca="false">IF(A869="","",IFERROR(INDEX(Items!$B$5:$B$304,MATCH(D869,Items!$A$5:$A$304,0))&amp;"",""))</f>
        <v/>
      </c>
      <c r="J869" s="34" t="str">
        <f aca="false">IF(A869="","",IFERROR(INDEX(Items!$C$5:$C$304,MATCH(D869,Items!$A$5:$A$304,0))&amp;"",""))</f>
        <v/>
      </c>
      <c r="K869" s="35" t="n">
        <f aca="false">IF(A869="",0,IF(ISNUMBER(F869),F869,IFERROR(INDEX(Items!$D$5:$D$304,MATCH(D869,Items!$A$5:$A$304,0)),0)))</f>
        <v>0</v>
      </c>
      <c r="L869" s="35" t="n">
        <f aca="false">ROUND(N(E869)*K869*(1-N(G869)),2)</f>
        <v>0</v>
      </c>
      <c r="M869" s="36" t="n">
        <f aca="false">IF(A869="",0,IFERROR(INDEX(Items!$E$5:$E$304,MATCH(D869,Items!$A$5:$A$304,0)),0))</f>
        <v>0</v>
      </c>
      <c r="N869" s="37" t="str">
        <f aca="false">IF(A869="","",IFERROR(INDEX(Customers!$E$5:$E$204,MATCH(C869,Customers!$A$5:$A$204,0)),"?"))</f>
        <v/>
      </c>
      <c r="O869" s="38" t="str">
        <f aca="false">IF(A869="","",IF(N869=Settings!$B$17,"No","Yes"))</f>
        <v/>
      </c>
      <c r="P869" s="35" t="n">
        <f aca="false">IF(O869="Yes",ROUND(L869*M869,2),0)</f>
        <v>0</v>
      </c>
      <c r="Q869" s="35" t="n">
        <f aca="false">IF(O869="No",ROUND(L869*M869/2,2),0)</f>
        <v>0</v>
      </c>
      <c r="R869" s="35" t="n">
        <f aca="false">Q869</f>
        <v>0</v>
      </c>
      <c r="S869" s="35" t="n">
        <f aca="false">L869+P869+Q869+R869</f>
        <v>0</v>
      </c>
      <c r="T869" s="34" t="str">
        <f aca="false">IF(A869="","",IFERROR(INDEX(Customers!$B$5:$B$204,MATCH(C869,Customers!$A$5:$A$204,0))&amp;"",""))</f>
        <v/>
      </c>
      <c r="U869" s="38" t="str">
        <f aca="false">IF(A869="","",IF(T869&lt;&gt;"","B2B",IF(AND(O869="Yes",SUMIF($A$5:$A$1004,A869,$L$5:$L$1004)+SUMIF($A$5:$A$1004,A869,$P$5:$P$1004)&gt;100000),"B2CL","B2CS")))</f>
        <v/>
      </c>
      <c r="V869" s="17" t="str">
        <f aca="false">IF(A869="","",TEXT(B869,"mmm-yyyy"))</f>
        <v/>
      </c>
    </row>
    <row r="870" customFormat="false" ht="15" hidden="false" customHeight="true" outlineLevel="0" collapsed="false">
      <c r="A870" s="24"/>
      <c r="B870" s="39"/>
      <c r="C870" s="24"/>
      <c r="D870" s="24"/>
      <c r="E870" s="40"/>
      <c r="F870" s="29"/>
      <c r="G870" s="30"/>
      <c r="H870" s="17" t="str">
        <f aca="false">IF(A870="","",A870&amp;"|"&amp;COUNTIF(A$5:A870,A870))</f>
        <v/>
      </c>
      <c r="I870" s="33" t="str">
        <f aca="false">IF(A870="","",IFERROR(INDEX(Items!$B$5:$B$304,MATCH(D870,Items!$A$5:$A$304,0))&amp;"",""))</f>
        <v/>
      </c>
      <c r="J870" s="34" t="str">
        <f aca="false">IF(A870="","",IFERROR(INDEX(Items!$C$5:$C$304,MATCH(D870,Items!$A$5:$A$304,0))&amp;"",""))</f>
        <v/>
      </c>
      <c r="K870" s="35" t="n">
        <f aca="false">IF(A870="",0,IF(ISNUMBER(F870),F870,IFERROR(INDEX(Items!$D$5:$D$304,MATCH(D870,Items!$A$5:$A$304,0)),0)))</f>
        <v>0</v>
      </c>
      <c r="L870" s="35" t="n">
        <f aca="false">ROUND(N(E870)*K870*(1-N(G870)),2)</f>
        <v>0</v>
      </c>
      <c r="M870" s="36" t="n">
        <f aca="false">IF(A870="",0,IFERROR(INDEX(Items!$E$5:$E$304,MATCH(D870,Items!$A$5:$A$304,0)),0))</f>
        <v>0</v>
      </c>
      <c r="N870" s="37" t="str">
        <f aca="false">IF(A870="","",IFERROR(INDEX(Customers!$E$5:$E$204,MATCH(C870,Customers!$A$5:$A$204,0)),"?"))</f>
        <v/>
      </c>
      <c r="O870" s="38" t="str">
        <f aca="false">IF(A870="","",IF(N870=Settings!$B$17,"No","Yes"))</f>
        <v/>
      </c>
      <c r="P870" s="35" t="n">
        <f aca="false">IF(O870="Yes",ROUND(L870*M870,2),0)</f>
        <v>0</v>
      </c>
      <c r="Q870" s="35" t="n">
        <f aca="false">IF(O870="No",ROUND(L870*M870/2,2),0)</f>
        <v>0</v>
      </c>
      <c r="R870" s="35" t="n">
        <f aca="false">Q870</f>
        <v>0</v>
      </c>
      <c r="S870" s="35" t="n">
        <f aca="false">L870+P870+Q870+R870</f>
        <v>0</v>
      </c>
      <c r="T870" s="34" t="str">
        <f aca="false">IF(A870="","",IFERROR(INDEX(Customers!$B$5:$B$204,MATCH(C870,Customers!$A$5:$A$204,0))&amp;"",""))</f>
        <v/>
      </c>
      <c r="U870" s="38" t="str">
        <f aca="false">IF(A870="","",IF(T870&lt;&gt;"","B2B",IF(AND(O870="Yes",SUMIF($A$5:$A$1004,A870,$L$5:$L$1004)+SUMIF($A$5:$A$1004,A870,$P$5:$P$1004)&gt;100000),"B2CL","B2CS")))</f>
        <v/>
      </c>
      <c r="V870" s="17" t="str">
        <f aca="false">IF(A870="","",TEXT(B870,"mmm-yyyy"))</f>
        <v/>
      </c>
    </row>
    <row r="871" customFormat="false" ht="15" hidden="false" customHeight="true" outlineLevel="0" collapsed="false">
      <c r="A871" s="24"/>
      <c r="B871" s="39"/>
      <c r="C871" s="24"/>
      <c r="D871" s="24"/>
      <c r="E871" s="40"/>
      <c r="F871" s="29"/>
      <c r="G871" s="30"/>
      <c r="H871" s="17" t="str">
        <f aca="false">IF(A871="","",A871&amp;"|"&amp;COUNTIF(A$5:A871,A871))</f>
        <v/>
      </c>
      <c r="I871" s="33" t="str">
        <f aca="false">IF(A871="","",IFERROR(INDEX(Items!$B$5:$B$304,MATCH(D871,Items!$A$5:$A$304,0))&amp;"",""))</f>
        <v/>
      </c>
      <c r="J871" s="34" t="str">
        <f aca="false">IF(A871="","",IFERROR(INDEX(Items!$C$5:$C$304,MATCH(D871,Items!$A$5:$A$304,0))&amp;"",""))</f>
        <v/>
      </c>
      <c r="K871" s="35" t="n">
        <f aca="false">IF(A871="",0,IF(ISNUMBER(F871),F871,IFERROR(INDEX(Items!$D$5:$D$304,MATCH(D871,Items!$A$5:$A$304,0)),0)))</f>
        <v>0</v>
      </c>
      <c r="L871" s="35" t="n">
        <f aca="false">ROUND(N(E871)*K871*(1-N(G871)),2)</f>
        <v>0</v>
      </c>
      <c r="M871" s="36" t="n">
        <f aca="false">IF(A871="",0,IFERROR(INDEX(Items!$E$5:$E$304,MATCH(D871,Items!$A$5:$A$304,0)),0))</f>
        <v>0</v>
      </c>
      <c r="N871" s="37" t="str">
        <f aca="false">IF(A871="","",IFERROR(INDEX(Customers!$E$5:$E$204,MATCH(C871,Customers!$A$5:$A$204,0)),"?"))</f>
        <v/>
      </c>
      <c r="O871" s="38" t="str">
        <f aca="false">IF(A871="","",IF(N871=Settings!$B$17,"No","Yes"))</f>
        <v/>
      </c>
      <c r="P871" s="35" t="n">
        <f aca="false">IF(O871="Yes",ROUND(L871*M871,2),0)</f>
        <v>0</v>
      </c>
      <c r="Q871" s="35" t="n">
        <f aca="false">IF(O871="No",ROUND(L871*M871/2,2),0)</f>
        <v>0</v>
      </c>
      <c r="R871" s="35" t="n">
        <f aca="false">Q871</f>
        <v>0</v>
      </c>
      <c r="S871" s="35" t="n">
        <f aca="false">L871+P871+Q871+R871</f>
        <v>0</v>
      </c>
      <c r="T871" s="34" t="str">
        <f aca="false">IF(A871="","",IFERROR(INDEX(Customers!$B$5:$B$204,MATCH(C871,Customers!$A$5:$A$204,0))&amp;"",""))</f>
        <v/>
      </c>
      <c r="U871" s="38" t="str">
        <f aca="false">IF(A871="","",IF(T871&lt;&gt;"","B2B",IF(AND(O871="Yes",SUMIF($A$5:$A$1004,A871,$L$5:$L$1004)+SUMIF($A$5:$A$1004,A871,$P$5:$P$1004)&gt;100000),"B2CL","B2CS")))</f>
        <v/>
      </c>
      <c r="V871" s="17" t="str">
        <f aca="false">IF(A871="","",TEXT(B871,"mmm-yyyy"))</f>
        <v/>
      </c>
    </row>
    <row r="872" customFormat="false" ht="15" hidden="false" customHeight="true" outlineLevel="0" collapsed="false">
      <c r="A872" s="24"/>
      <c r="B872" s="39"/>
      <c r="C872" s="24"/>
      <c r="D872" s="24"/>
      <c r="E872" s="40"/>
      <c r="F872" s="29"/>
      <c r="G872" s="30"/>
      <c r="H872" s="17" t="str">
        <f aca="false">IF(A872="","",A872&amp;"|"&amp;COUNTIF(A$5:A872,A872))</f>
        <v/>
      </c>
      <c r="I872" s="33" t="str">
        <f aca="false">IF(A872="","",IFERROR(INDEX(Items!$B$5:$B$304,MATCH(D872,Items!$A$5:$A$304,0))&amp;"",""))</f>
        <v/>
      </c>
      <c r="J872" s="34" t="str">
        <f aca="false">IF(A872="","",IFERROR(INDEX(Items!$C$5:$C$304,MATCH(D872,Items!$A$5:$A$304,0))&amp;"",""))</f>
        <v/>
      </c>
      <c r="K872" s="35" t="n">
        <f aca="false">IF(A872="",0,IF(ISNUMBER(F872),F872,IFERROR(INDEX(Items!$D$5:$D$304,MATCH(D872,Items!$A$5:$A$304,0)),0)))</f>
        <v>0</v>
      </c>
      <c r="L872" s="35" t="n">
        <f aca="false">ROUND(N(E872)*K872*(1-N(G872)),2)</f>
        <v>0</v>
      </c>
      <c r="M872" s="36" t="n">
        <f aca="false">IF(A872="",0,IFERROR(INDEX(Items!$E$5:$E$304,MATCH(D872,Items!$A$5:$A$304,0)),0))</f>
        <v>0</v>
      </c>
      <c r="N872" s="37" t="str">
        <f aca="false">IF(A872="","",IFERROR(INDEX(Customers!$E$5:$E$204,MATCH(C872,Customers!$A$5:$A$204,0)),"?"))</f>
        <v/>
      </c>
      <c r="O872" s="38" t="str">
        <f aca="false">IF(A872="","",IF(N872=Settings!$B$17,"No","Yes"))</f>
        <v/>
      </c>
      <c r="P872" s="35" t="n">
        <f aca="false">IF(O872="Yes",ROUND(L872*M872,2),0)</f>
        <v>0</v>
      </c>
      <c r="Q872" s="35" t="n">
        <f aca="false">IF(O872="No",ROUND(L872*M872/2,2),0)</f>
        <v>0</v>
      </c>
      <c r="R872" s="35" t="n">
        <f aca="false">Q872</f>
        <v>0</v>
      </c>
      <c r="S872" s="35" t="n">
        <f aca="false">L872+P872+Q872+R872</f>
        <v>0</v>
      </c>
      <c r="T872" s="34" t="str">
        <f aca="false">IF(A872="","",IFERROR(INDEX(Customers!$B$5:$B$204,MATCH(C872,Customers!$A$5:$A$204,0))&amp;"",""))</f>
        <v/>
      </c>
      <c r="U872" s="38" t="str">
        <f aca="false">IF(A872="","",IF(T872&lt;&gt;"","B2B",IF(AND(O872="Yes",SUMIF($A$5:$A$1004,A872,$L$5:$L$1004)+SUMIF($A$5:$A$1004,A872,$P$5:$P$1004)&gt;100000),"B2CL","B2CS")))</f>
        <v/>
      </c>
      <c r="V872" s="17" t="str">
        <f aca="false">IF(A872="","",TEXT(B872,"mmm-yyyy"))</f>
        <v/>
      </c>
    </row>
    <row r="873" customFormat="false" ht="15" hidden="false" customHeight="true" outlineLevel="0" collapsed="false">
      <c r="A873" s="24"/>
      <c r="B873" s="39"/>
      <c r="C873" s="24"/>
      <c r="D873" s="24"/>
      <c r="E873" s="40"/>
      <c r="F873" s="29"/>
      <c r="G873" s="30"/>
      <c r="H873" s="17" t="str">
        <f aca="false">IF(A873="","",A873&amp;"|"&amp;COUNTIF(A$5:A873,A873))</f>
        <v/>
      </c>
      <c r="I873" s="33" t="str">
        <f aca="false">IF(A873="","",IFERROR(INDEX(Items!$B$5:$B$304,MATCH(D873,Items!$A$5:$A$304,0))&amp;"",""))</f>
        <v/>
      </c>
      <c r="J873" s="34" t="str">
        <f aca="false">IF(A873="","",IFERROR(INDEX(Items!$C$5:$C$304,MATCH(D873,Items!$A$5:$A$304,0))&amp;"",""))</f>
        <v/>
      </c>
      <c r="K873" s="35" t="n">
        <f aca="false">IF(A873="",0,IF(ISNUMBER(F873),F873,IFERROR(INDEX(Items!$D$5:$D$304,MATCH(D873,Items!$A$5:$A$304,0)),0)))</f>
        <v>0</v>
      </c>
      <c r="L873" s="35" t="n">
        <f aca="false">ROUND(N(E873)*K873*(1-N(G873)),2)</f>
        <v>0</v>
      </c>
      <c r="M873" s="36" t="n">
        <f aca="false">IF(A873="",0,IFERROR(INDEX(Items!$E$5:$E$304,MATCH(D873,Items!$A$5:$A$304,0)),0))</f>
        <v>0</v>
      </c>
      <c r="N873" s="37" t="str">
        <f aca="false">IF(A873="","",IFERROR(INDEX(Customers!$E$5:$E$204,MATCH(C873,Customers!$A$5:$A$204,0)),"?"))</f>
        <v/>
      </c>
      <c r="O873" s="38" t="str">
        <f aca="false">IF(A873="","",IF(N873=Settings!$B$17,"No","Yes"))</f>
        <v/>
      </c>
      <c r="P873" s="35" t="n">
        <f aca="false">IF(O873="Yes",ROUND(L873*M873,2),0)</f>
        <v>0</v>
      </c>
      <c r="Q873" s="35" t="n">
        <f aca="false">IF(O873="No",ROUND(L873*M873/2,2),0)</f>
        <v>0</v>
      </c>
      <c r="R873" s="35" t="n">
        <f aca="false">Q873</f>
        <v>0</v>
      </c>
      <c r="S873" s="35" t="n">
        <f aca="false">L873+P873+Q873+R873</f>
        <v>0</v>
      </c>
      <c r="T873" s="34" t="str">
        <f aca="false">IF(A873="","",IFERROR(INDEX(Customers!$B$5:$B$204,MATCH(C873,Customers!$A$5:$A$204,0))&amp;"",""))</f>
        <v/>
      </c>
      <c r="U873" s="38" t="str">
        <f aca="false">IF(A873="","",IF(T873&lt;&gt;"","B2B",IF(AND(O873="Yes",SUMIF($A$5:$A$1004,A873,$L$5:$L$1004)+SUMIF($A$5:$A$1004,A873,$P$5:$P$1004)&gt;100000),"B2CL","B2CS")))</f>
        <v/>
      </c>
      <c r="V873" s="17" t="str">
        <f aca="false">IF(A873="","",TEXT(B873,"mmm-yyyy"))</f>
        <v/>
      </c>
    </row>
    <row r="874" customFormat="false" ht="15" hidden="false" customHeight="true" outlineLevel="0" collapsed="false">
      <c r="A874" s="24"/>
      <c r="B874" s="39"/>
      <c r="C874" s="24"/>
      <c r="D874" s="24"/>
      <c r="E874" s="40"/>
      <c r="F874" s="29"/>
      <c r="G874" s="30"/>
      <c r="H874" s="17" t="str">
        <f aca="false">IF(A874="","",A874&amp;"|"&amp;COUNTIF(A$5:A874,A874))</f>
        <v/>
      </c>
      <c r="I874" s="33" t="str">
        <f aca="false">IF(A874="","",IFERROR(INDEX(Items!$B$5:$B$304,MATCH(D874,Items!$A$5:$A$304,0))&amp;"",""))</f>
        <v/>
      </c>
      <c r="J874" s="34" t="str">
        <f aca="false">IF(A874="","",IFERROR(INDEX(Items!$C$5:$C$304,MATCH(D874,Items!$A$5:$A$304,0))&amp;"",""))</f>
        <v/>
      </c>
      <c r="K874" s="35" t="n">
        <f aca="false">IF(A874="",0,IF(ISNUMBER(F874),F874,IFERROR(INDEX(Items!$D$5:$D$304,MATCH(D874,Items!$A$5:$A$304,0)),0)))</f>
        <v>0</v>
      </c>
      <c r="L874" s="35" t="n">
        <f aca="false">ROUND(N(E874)*K874*(1-N(G874)),2)</f>
        <v>0</v>
      </c>
      <c r="M874" s="36" t="n">
        <f aca="false">IF(A874="",0,IFERROR(INDEX(Items!$E$5:$E$304,MATCH(D874,Items!$A$5:$A$304,0)),0))</f>
        <v>0</v>
      </c>
      <c r="N874" s="37" t="str">
        <f aca="false">IF(A874="","",IFERROR(INDEX(Customers!$E$5:$E$204,MATCH(C874,Customers!$A$5:$A$204,0)),"?"))</f>
        <v/>
      </c>
      <c r="O874" s="38" t="str">
        <f aca="false">IF(A874="","",IF(N874=Settings!$B$17,"No","Yes"))</f>
        <v/>
      </c>
      <c r="P874" s="35" t="n">
        <f aca="false">IF(O874="Yes",ROUND(L874*M874,2),0)</f>
        <v>0</v>
      </c>
      <c r="Q874" s="35" t="n">
        <f aca="false">IF(O874="No",ROUND(L874*M874/2,2),0)</f>
        <v>0</v>
      </c>
      <c r="R874" s="35" t="n">
        <f aca="false">Q874</f>
        <v>0</v>
      </c>
      <c r="S874" s="35" t="n">
        <f aca="false">L874+P874+Q874+R874</f>
        <v>0</v>
      </c>
      <c r="T874" s="34" t="str">
        <f aca="false">IF(A874="","",IFERROR(INDEX(Customers!$B$5:$B$204,MATCH(C874,Customers!$A$5:$A$204,0))&amp;"",""))</f>
        <v/>
      </c>
      <c r="U874" s="38" t="str">
        <f aca="false">IF(A874="","",IF(T874&lt;&gt;"","B2B",IF(AND(O874="Yes",SUMIF($A$5:$A$1004,A874,$L$5:$L$1004)+SUMIF($A$5:$A$1004,A874,$P$5:$P$1004)&gt;100000),"B2CL","B2CS")))</f>
        <v/>
      </c>
      <c r="V874" s="17" t="str">
        <f aca="false">IF(A874="","",TEXT(B874,"mmm-yyyy"))</f>
        <v/>
      </c>
    </row>
    <row r="875" customFormat="false" ht="15" hidden="false" customHeight="true" outlineLevel="0" collapsed="false">
      <c r="A875" s="24"/>
      <c r="B875" s="39"/>
      <c r="C875" s="24"/>
      <c r="D875" s="24"/>
      <c r="E875" s="40"/>
      <c r="F875" s="29"/>
      <c r="G875" s="30"/>
      <c r="H875" s="17" t="str">
        <f aca="false">IF(A875="","",A875&amp;"|"&amp;COUNTIF(A$5:A875,A875))</f>
        <v/>
      </c>
      <c r="I875" s="33" t="str">
        <f aca="false">IF(A875="","",IFERROR(INDEX(Items!$B$5:$B$304,MATCH(D875,Items!$A$5:$A$304,0))&amp;"",""))</f>
        <v/>
      </c>
      <c r="J875" s="34" t="str">
        <f aca="false">IF(A875="","",IFERROR(INDEX(Items!$C$5:$C$304,MATCH(D875,Items!$A$5:$A$304,0))&amp;"",""))</f>
        <v/>
      </c>
      <c r="K875" s="35" t="n">
        <f aca="false">IF(A875="",0,IF(ISNUMBER(F875),F875,IFERROR(INDEX(Items!$D$5:$D$304,MATCH(D875,Items!$A$5:$A$304,0)),0)))</f>
        <v>0</v>
      </c>
      <c r="L875" s="35" t="n">
        <f aca="false">ROUND(N(E875)*K875*(1-N(G875)),2)</f>
        <v>0</v>
      </c>
      <c r="M875" s="36" t="n">
        <f aca="false">IF(A875="",0,IFERROR(INDEX(Items!$E$5:$E$304,MATCH(D875,Items!$A$5:$A$304,0)),0))</f>
        <v>0</v>
      </c>
      <c r="N875" s="37" t="str">
        <f aca="false">IF(A875="","",IFERROR(INDEX(Customers!$E$5:$E$204,MATCH(C875,Customers!$A$5:$A$204,0)),"?"))</f>
        <v/>
      </c>
      <c r="O875" s="38" t="str">
        <f aca="false">IF(A875="","",IF(N875=Settings!$B$17,"No","Yes"))</f>
        <v/>
      </c>
      <c r="P875" s="35" t="n">
        <f aca="false">IF(O875="Yes",ROUND(L875*M875,2),0)</f>
        <v>0</v>
      </c>
      <c r="Q875" s="35" t="n">
        <f aca="false">IF(O875="No",ROUND(L875*M875/2,2),0)</f>
        <v>0</v>
      </c>
      <c r="R875" s="35" t="n">
        <f aca="false">Q875</f>
        <v>0</v>
      </c>
      <c r="S875" s="35" t="n">
        <f aca="false">L875+P875+Q875+R875</f>
        <v>0</v>
      </c>
      <c r="T875" s="34" t="str">
        <f aca="false">IF(A875="","",IFERROR(INDEX(Customers!$B$5:$B$204,MATCH(C875,Customers!$A$5:$A$204,0))&amp;"",""))</f>
        <v/>
      </c>
      <c r="U875" s="38" t="str">
        <f aca="false">IF(A875="","",IF(T875&lt;&gt;"","B2B",IF(AND(O875="Yes",SUMIF($A$5:$A$1004,A875,$L$5:$L$1004)+SUMIF($A$5:$A$1004,A875,$P$5:$P$1004)&gt;100000),"B2CL","B2CS")))</f>
        <v/>
      </c>
      <c r="V875" s="17" t="str">
        <f aca="false">IF(A875="","",TEXT(B875,"mmm-yyyy"))</f>
        <v/>
      </c>
    </row>
    <row r="876" customFormat="false" ht="15" hidden="false" customHeight="true" outlineLevel="0" collapsed="false">
      <c r="A876" s="24"/>
      <c r="B876" s="39"/>
      <c r="C876" s="24"/>
      <c r="D876" s="24"/>
      <c r="E876" s="40"/>
      <c r="F876" s="29"/>
      <c r="G876" s="30"/>
      <c r="H876" s="17" t="str">
        <f aca="false">IF(A876="","",A876&amp;"|"&amp;COUNTIF(A$5:A876,A876))</f>
        <v/>
      </c>
      <c r="I876" s="33" t="str">
        <f aca="false">IF(A876="","",IFERROR(INDEX(Items!$B$5:$B$304,MATCH(D876,Items!$A$5:$A$304,0))&amp;"",""))</f>
        <v/>
      </c>
      <c r="J876" s="34" t="str">
        <f aca="false">IF(A876="","",IFERROR(INDEX(Items!$C$5:$C$304,MATCH(D876,Items!$A$5:$A$304,0))&amp;"",""))</f>
        <v/>
      </c>
      <c r="K876" s="35" t="n">
        <f aca="false">IF(A876="",0,IF(ISNUMBER(F876),F876,IFERROR(INDEX(Items!$D$5:$D$304,MATCH(D876,Items!$A$5:$A$304,0)),0)))</f>
        <v>0</v>
      </c>
      <c r="L876" s="35" t="n">
        <f aca="false">ROUND(N(E876)*K876*(1-N(G876)),2)</f>
        <v>0</v>
      </c>
      <c r="M876" s="36" t="n">
        <f aca="false">IF(A876="",0,IFERROR(INDEX(Items!$E$5:$E$304,MATCH(D876,Items!$A$5:$A$304,0)),0))</f>
        <v>0</v>
      </c>
      <c r="N876" s="37" t="str">
        <f aca="false">IF(A876="","",IFERROR(INDEX(Customers!$E$5:$E$204,MATCH(C876,Customers!$A$5:$A$204,0)),"?"))</f>
        <v/>
      </c>
      <c r="O876" s="38" t="str">
        <f aca="false">IF(A876="","",IF(N876=Settings!$B$17,"No","Yes"))</f>
        <v/>
      </c>
      <c r="P876" s="35" t="n">
        <f aca="false">IF(O876="Yes",ROUND(L876*M876,2),0)</f>
        <v>0</v>
      </c>
      <c r="Q876" s="35" t="n">
        <f aca="false">IF(O876="No",ROUND(L876*M876/2,2),0)</f>
        <v>0</v>
      </c>
      <c r="R876" s="35" t="n">
        <f aca="false">Q876</f>
        <v>0</v>
      </c>
      <c r="S876" s="35" t="n">
        <f aca="false">L876+P876+Q876+R876</f>
        <v>0</v>
      </c>
      <c r="T876" s="34" t="str">
        <f aca="false">IF(A876="","",IFERROR(INDEX(Customers!$B$5:$B$204,MATCH(C876,Customers!$A$5:$A$204,0))&amp;"",""))</f>
        <v/>
      </c>
      <c r="U876" s="38" t="str">
        <f aca="false">IF(A876="","",IF(T876&lt;&gt;"","B2B",IF(AND(O876="Yes",SUMIF($A$5:$A$1004,A876,$L$5:$L$1004)+SUMIF($A$5:$A$1004,A876,$P$5:$P$1004)&gt;100000),"B2CL","B2CS")))</f>
        <v/>
      </c>
      <c r="V876" s="17" t="str">
        <f aca="false">IF(A876="","",TEXT(B876,"mmm-yyyy"))</f>
        <v/>
      </c>
    </row>
    <row r="877" customFormat="false" ht="15" hidden="false" customHeight="true" outlineLevel="0" collapsed="false">
      <c r="A877" s="24"/>
      <c r="B877" s="39"/>
      <c r="C877" s="24"/>
      <c r="D877" s="24"/>
      <c r="E877" s="40"/>
      <c r="F877" s="29"/>
      <c r="G877" s="30"/>
      <c r="H877" s="17" t="str">
        <f aca="false">IF(A877="","",A877&amp;"|"&amp;COUNTIF(A$5:A877,A877))</f>
        <v/>
      </c>
      <c r="I877" s="33" t="str">
        <f aca="false">IF(A877="","",IFERROR(INDEX(Items!$B$5:$B$304,MATCH(D877,Items!$A$5:$A$304,0))&amp;"",""))</f>
        <v/>
      </c>
      <c r="J877" s="34" t="str">
        <f aca="false">IF(A877="","",IFERROR(INDEX(Items!$C$5:$C$304,MATCH(D877,Items!$A$5:$A$304,0))&amp;"",""))</f>
        <v/>
      </c>
      <c r="K877" s="35" t="n">
        <f aca="false">IF(A877="",0,IF(ISNUMBER(F877),F877,IFERROR(INDEX(Items!$D$5:$D$304,MATCH(D877,Items!$A$5:$A$304,0)),0)))</f>
        <v>0</v>
      </c>
      <c r="L877" s="35" t="n">
        <f aca="false">ROUND(N(E877)*K877*(1-N(G877)),2)</f>
        <v>0</v>
      </c>
      <c r="M877" s="36" t="n">
        <f aca="false">IF(A877="",0,IFERROR(INDEX(Items!$E$5:$E$304,MATCH(D877,Items!$A$5:$A$304,0)),0))</f>
        <v>0</v>
      </c>
      <c r="N877" s="37" t="str">
        <f aca="false">IF(A877="","",IFERROR(INDEX(Customers!$E$5:$E$204,MATCH(C877,Customers!$A$5:$A$204,0)),"?"))</f>
        <v/>
      </c>
      <c r="O877" s="38" t="str">
        <f aca="false">IF(A877="","",IF(N877=Settings!$B$17,"No","Yes"))</f>
        <v/>
      </c>
      <c r="P877" s="35" t="n">
        <f aca="false">IF(O877="Yes",ROUND(L877*M877,2),0)</f>
        <v>0</v>
      </c>
      <c r="Q877" s="35" t="n">
        <f aca="false">IF(O877="No",ROUND(L877*M877/2,2),0)</f>
        <v>0</v>
      </c>
      <c r="R877" s="35" t="n">
        <f aca="false">Q877</f>
        <v>0</v>
      </c>
      <c r="S877" s="35" t="n">
        <f aca="false">L877+P877+Q877+R877</f>
        <v>0</v>
      </c>
      <c r="T877" s="34" t="str">
        <f aca="false">IF(A877="","",IFERROR(INDEX(Customers!$B$5:$B$204,MATCH(C877,Customers!$A$5:$A$204,0))&amp;"",""))</f>
        <v/>
      </c>
      <c r="U877" s="38" t="str">
        <f aca="false">IF(A877="","",IF(T877&lt;&gt;"","B2B",IF(AND(O877="Yes",SUMIF($A$5:$A$1004,A877,$L$5:$L$1004)+SUMIF($A$5:$A$1004,A877,$P$5:$P$1004)&gt;100000),"B2CL","B2CS")))</f>
        <v/>
      </c>
      <c r="V877" s="17" t="str">
        <f aca="false">IF(A877="","",TEXT(B877,"mmm-yyyy"))</f>
        <v/>
      </c>
    </row>
    <row r="878" customFormat="false" ht="15" hidden="false" customHeight="true" outlineLevel="0" collapsed="false">
      <c r="A878" s="24"/>
      <c r="B878" s="39"/>
      <c r="C878" s="24"/>
      <c r="D878" s="24"/>
      <c r="E878" s="40"/>
      <c r="F878" s="29"/>
      <c r="G878" s="30"/>
      <c r="H878" s="17" t="str">
        <f aca="false">IF(A878="","",A878&amp;"|"&amp;COUNTIF(A$5:A878,A878))</f>
        <v/>
      </c>
      <c r="I878" s="33" t="str">
        <f aca="false">IF(A878="","",IFERROR(INDEX(Items!$B$5:$B$304,MATCH(D878,Items!$A$5:$A$304,0))&amp;"",""))</f>
        <v/>
      </c>
      <c r="J878" s="34" t="str">
        <f aca="false">IF(A878="","",IFERROR(INDEX(Items!$C$5:$C$304,MATCH(D878,Items!$A$5:$A$304,0))&amp;"",""))</f>
        <v/>
      </c>
      <c r="K878" s="35" t="n">
        <f aca="false">IF(A878="",0,IF(ISNUMBER(F878),F878,IFERROR(INDEX(Items!$D$5:$D$304,MATCH(D878,Items!$A$5:$A$304,0)),0)))</f>
        <v>0</v>
      </c>
      <c r="L878" s="35" t="n">
        <f aca="false">ROUND(N(E878)*K878*(1-N(G878)),2)</f>
        <v>0</v>
      </c>
      <c r="M878" s="36" t="n">
        <f aca="false">IF(A878="",0,IFERROR(INDEX(Items!$E$5:$E$304,MATCH(D878,Items!$A$5:$A$304,0)),0))</f>
        <v>0</v>
      </c>
      <c r="N878" s="37" t="str">
        <f aca="false">IF(A878="","",IFERROR(INDEX(Customers!$E$5:$E$204,MATCH(C878,Customers!$A$5:$A$204,0)),"?"))</f>
        <v/>
      </c>
      <c r="O878" s="38" t="str">
        <f aca="false">IF(A878="","",IF(N878=Settings!$B$17,"No","Yes"))</f>
        <v/>
      </c>
      <c r="P878" s="35" t="n">
        <f aca="false">IF(O878="Yes",ROUND(L878*M878,2),0)</f>
        <v>0</v>
      </c>
      <c r="Q878" s="35" t="n">
        <f aca="false">IF(O878="No",ROUND(L878*M878/2,2),0)</f>
        <v>0</v>
      </c>
      <c r="R878" s="35" t="n">
        <f aca="false">Q878</f>
        <v>0</v>
      </c>
      <c r="S878" s="35" t="n">
        <f aca="false">L878+P878+Q878+R878</f>
        <v>0</v>
      </c>
      <c r="T878" s="34" t="str">
        <f aca="false">IF(A878="","",IFERROR(INDEX(Customers!$B$5:$B$204,MATCH(C878,Customers!$A$5:$A$204,0))&amp;"",""))</f>
        <v/>
      </c>
      <c r="U878" s="38" t="str">
        <f aca="false">IF(A878="","",IF(T878&lt;&gt;"","B2B",IF(AND(O878="Yes",SUMIF($A$5:$A$1004,A878,$L$5:$L$1004)+SUMIF($A$5:$A$1004,A878,$P$5:$P$1004)&gt;100000),"B2CL","B2CS")))</f>
        <v/>
      </c>
      <c r="V878" s="17" t="str">
        <f aca="false">IF(A878="","",TEXT(B878,"mmm-yyyy"))</f>
        <v/>
      </c>
    </row>
    <row r="879" customFormat="false" ht="15" hidden="false" customHeight="true" outlineLevel="0" collapsed="false">
      <c r="A879" s="24"/>
      <c r="B879" s="39"/>
      <c r="C879" s="24"/>
      <c r="D879" s="24"/>
      <c r="E879" s="40"/>
      <c r="F879" s="29"/>
      <c r="G879" s="30"/>
      <c r="H879" s="17" t="str">
        <f aca="false">IF(A879="","",A879&amp;"|"&amp;COUNTIF(A$5:A879,A879))</f>
        <v/>
      </c>
      <c r="I879" s="33" t="str">
        <f aca="false">IF(A879="","",IFERROR(INDEX(Items!$B$5:$B$304,MATCH(D879,Items!$A$5:$A$304,0))&amp;"",""))</f>
        <v/>
      </c>
      <c r="J879" s="34" t="str">
        <f aca="false">IF(A879="","",IFERROR(INDEX(Items!$C$5:$C$304,MATCH(D879,Items!$A$5:$A$304,0))&amp;"",""))</f>
        <v/>
      </c>
      <c r="K879" s="35" t="n">
        <f aca="false">IF(A879="",0,IF(ISNUMBER(F879),F879,IFERROR(INDEX(Items!$D$5:$D$304,MATCH(D879,Items!$A$5:$A$304,0)),0)))</f>
        <v>0</v>
      </c>
      <c r="L879" s="35" t="n">
        <f aca="false">ROUND(N(E879)*K879*(1-N(G879)),2)</f>
        <v>0</v>
      </c>
      <c r="M879" s="36" t="n">
        <f aca="false">IF(A879="",0,IFERROR(INDEX(Items!$E$5:$E$304,MATCH(D879,Items!$A$5:$A$304,0)),0))</f>
        <v>0</v>
      </c>
      <c r="N879" s="37" t="str">
        <f aca="false">IF(A879="","",IFERROR(INDEX(Customers!$E$5:$E$204,MATCH(C879,Customers!$A$5:$A$204,0)),"?"))</f>
        <v/>
      </c>
      <c r="O879" s="38" t="str">
        <f aca="false">IF(A879="","",IF(N879=Settings!$B$17,"No","Yes"))</f>
        <v/>
      </c>
      <c r="P879" s="35" t="n">
        <f aca="false">IF(O879="Yes",ROUND(L879*M879,2),0)</f>
        <v>0</v>
      </c>
      <c r="Q879" s="35" t="n">
        <f aca="false">IF(O879="No",ROUND(L879*M879/2,2),0)</f>
        <v>0</v>
      </c>
      <c r="R879" s="35" t="n">
        <f aca="false">Q879</f>
        <v>0</v>
      </c>
      <c r="S879" s="35" t="n">
        <f aca="false">L879+P879+Q879+R879</f>
        <v>0</v>
      </c>
      <c r="T879" s="34" t="str">
        <f aca="false">IF(A879="","",IFERROR(INDEX(Customers!$B$5:$B$204,MATCH(C879,Customers!$A$5:$A$204,0))&amp;"",""))</f>
        <v/>
      </c>
      <c r="U879" s="38" t="str">
        <f aca="false">IF(A879="","",IF(T879&lt;&gt;"","B2B",IF(AND(O879="Yes",SUMIF($A$5:$A$1004,A879,$L$5:$L$1004)+SUMIF($A$5:$A$1004,A879,$P$5:$P$1004)&gt;100000),"B2CL","B2CS")))</f>
        <v/>
      </c>
      <c r="V879" s="17" t="str">
        <f aca="false">IF(A879="","",TEXT(B879,"mmm-yyyy"))</f>
        <v/>
      </c>
    </row>
    <row r="880" customFormat="false" ht="15" hidden="false" customHeight="true" outlineLevel="0" collapsed="false">
      <c r="A880" s="24"/>
      <c r="B880" s="39"/>
      <c r="C880" s="24"/>
      <c r="D880" s="24"/>
      <c r="E880" s="40"/>
      <c r="F880" s="29"/>
      <c r="G880" s="30"/>
      <c r="H880" s="17" t="str">
        <f aca="false">IF(A880="","",A880&amp;"|"&amp;COUNTIF(A$5:A880,A880))</f>
        <v/>
      </c>
      <c r="I880" s="33" t="str">
        <f aca="false">IF(A880="","",IFERROR(INDEX(Items!$B$5:$B$304,MATCH(D880,Items!$A$5:$A$304,0))&amp;"",""))</f>
        <v/>
      </c>
      <c r="J880" s="34" t="str">
        <f aca="false">IF(A880="","",IFERROR(INDEX(Items!$C$5:$C$304,MATCH(D880,Items!$A$5:$A$304,0))&amp;"",""))</f>
        <v/>
      </c>
      <c r="K880" s="35" t="n">
        <f aca="false">IF(A880="",0,IF(ISNUMBER(F880),F880,IFERROR(INDEX(Items!$D$5:$D$304,MATCH(D880,Items!$A$5:$A$304,0)),0)))</f>
        <v>0</v>
      </c>
      <c r="L880" s="35" t="n">
        <f aca="false">ROUND(N(E880)*K880*(1-N(G880)),2)</f>
        <v>0</v>
      </c>
      <c r="M880" s="36" t="n">
        <f aca="false">IF(A880="",0,IFERROR(INDEX(Items!$E$5:$E$304,MATCH(D880,Items!$A$5:$A$304,0)),0))</f>
        <v>0</v>
      </c>
      <c r="N880" s="37" t="str">
        <f aca="false">IF(A880="","",IFERROR(INDEX(Customers!$E$5:$E$204,MATCH(C880,Customers!$A$5:$A$204,0)),"?"))</f>
        <v/>
      </c>
      <c r="O880" s="38" t="str">
        <f aca="false">IF(A880="","",IF(N880=Settings!$B$17,"No","Yes"))</f>
        <v/>
      </c>
      <c r="P880" s="35" t="n">
        <f aca="false">IF(O880="Yes",ROUND(L880*M880,2),0)</f>
        <v>0</v>
      </c>
      <c r="Q880" s="35" t="n">
        <f aca="false">IF(O880="No",ROUND(L880*M880/2,2),0)</f>
        <v>0</v>
      </c>
      <c r="R880" s="35" t="n">
        <f aca="false">Q880</f>
        <v>0</v>
      </c>
      <c r="S880" s="35" t="n">
        <f aca="false">L880+P880+Q880+R880</f>
        <v>0</v>
      </c>
      <c r="T880" s="34" t="str">
        <f aca="false">IF(A880="","",IFERROR(INDEX(Customers!$B$5:$B$204,MATCH(C880,Customers!$A$5:$A$204,0))&amp;"",""))</f>
        <v/>
      </c>
      <c r="U880" s="38" t="str">
        <f aca="false">IF(A880="","",IF(T880&lt;&gt;"","B2B",IF(AND(O880="Yes",SUMIF($A$5:$A$1004,A880,$L$5:$L$1004)+SUMIF($A$5:$A$1004,A880,$P$5:$P$1004)&gt;100000),"B2CL","B2CS")))</f>
        <v/>
      </c>
      <c r="V880" s="17" t="str">
        <f aca="false">IF(A880="","",TEXT(B880,"mmm-yyyy"))</f>
        <v/>
      </c>
    </row>
    <row r="881" customFormat="false" ht="15" hidden="false" customHeight="true" outlineLevel="0" collapsed="false">
      <c r="A881" s="24"/>
      <c r="B881" s="39"/>
      <c r="C881" s="24"/>
      <c r="D881" s="24"/>
      <c r="E881" s="40"/>
      <c r="F881" s="29"/>
      <c r="G881" s="30"/>
      <c r="H881" s="17" t="str">
        <f aca="false">IF(A881="","",A881&amp;"|"&amp;COUNTIF(A$5:A881,A881))</f>
        <v/>
      </c>
      <c r="I881" s="33" t="str">
        <f aca="false">IF(A881="","",IFERROR(INDEX(Items!$B$5:$B$304,MATCH(D881,Items!$A$5:$A$304,0))&amp;"",""))</f>
        <v/>
      </c>
      <c r="J881" s="34" t="str">
        <f aca="false">IF(A881="","",IFERROR(INDEX(Items!$C$5:$C$304,MATCH(D881,Items!$A$5:$A$304,0))&amp;"",""))</f>
        <v/>
      </c>
      <c r="K881" s="35" t="n">
        <f aca="false">IF(A881="",0,IF(ISNUMBER(F881),F881,IFERROR(INDEX(Items!$D$5:$D$304,MATCH(D881,Items!$A$5:$A$304,0)),0)))</f>
        <v>0</v>
      </c>
      <c r="L881" s="35" t="n">
        <f aca="false">ROUND(N(E881)*K881*(1-N(G881)),2)</f>
        <v>0</v>
      </c>
      <c r="M881" s="36" t="n">
        <f aca="false">IF(A881="",0,IFERROR(INDEX(Items!$E$5:$E$304,MATCH(D881,Items!$A$5:$A$304,0)),0))</f>
        <v>0</v>
      </c>
      <c r="N881" s="37" t="str">
        <f aca="false">IF(A881="","",IFERROR(INDEX(Customers!$E$5:$E$204,MATCH(C881,Customers!$A$5:$A$204,0)),"?"))</f>
        <v/>
      </c>
      <c r="O881" s="38" t="str">
        <f aca="false">IF(A881="","",IF(N881=Settings!$B$17,"No","Yes"))</f>
        <v/>
      </c>
      <c r="P881" s="35" t="n">
        <f aca="false">IF(O881="Yes",ROUND(L881*M881,2),0)</f>
        <v>0</v>
      </c>
      <c r="Q881" s="35" t="n">
        <f aca="false">IF(O881="No",ROUND(L881*M881/2,2),0)</f>
        <v>0</v>
      </c>
      <c r="R881" s="35" t="n">
        <f aca="false">Q881</f>
        <v>0</v>
      </c>
      <c r="S881" s="35" t="n">
        <f aca="false">L881+P881+Q881+R881</f>
        <v>0</v>
      </c>
      <c r="T881" s="34" t="str">
        <f aca="false">IF(A881="","",IFERROR(INDEX(Customers!$B$5:$B$204,MATCH(C881,Customers!$A$5:$A$204,0))&amp;"",""))</f>
        <v/>
      </c>
      <c r="U881" s="38" t="str">
        <f aca="false">IF(A881="","",IF(T881&lt;&gt;"","B2B",IF(AND(O881="Yes",SUMIF($A$5:$A$1004,A881,$L$5:$L$1004)+SUMIF($A$5:$A$1004,A881,$P$5:$P$1004)&gt;100000),"B2CL","B2CS")))</f>
        <v/>
      </c>
      <c r="V881" s="17" t="str">
        <f aca="false">IF(A881="","",TEXT(B881,"mmm-yyyy"))</f>
        <v/>
      </c>
    </row>
    <row r="882" customFormat="false" ht="15" hidden="false" customHeight="true" outlineLevel="0" collapsed="false">
      <c r="A882" s="24"/>
      <c r="B882" s="39"/>
      <c r="C882" s="24"/>
      <c r="D882" s="24"/>
      <c r="E882" s="40"/>
      <c r="F882" s="29"/>
      <c r="G882" s="30"/>
      <c r="H882" s="17" t="str">
        <f aca="false">IF(A882="","",A882&amp;"|"&amp;COUNTIF(A$5:A882,A882))</f>
        <v/>
      </c>
      <c r="I882" s="33" t="str">
        <f aca="false">IF(A882="","",IFERROR(INDEX(Items!$B$5:$B$304,MATCH(D882,Items!$A$5:$A$304,0))&amp;"",""))</f>
        <v/>
      </c>
      <c r="J882" s="34" t="str">
        <f aca="false">IF(A882="","",IFERROR(INDEX(Items!$C$5:$C$304,MATCH(D882,Items!$A$5:$A$304,0))&amp;"",""))</f>
        <v/>
      </c>
      <c r="K882" s="35" t="n">
        <f aca="false">IF(A882="",0,IF(ISNUMBER(F882),F882,IFERROR(INDEX(Items!$D$5:$D$304,MATCH(D882,Items!$A$5:$A$304,0)),0)))</f>
        <v>0</v>
      </c>
      <c r="L882" s="35" t="n">
        <f aca="false">ROUND(N(E882)*K882*(1-N(G882)),2)</f>
        <v>0</v>
      </c>
      <c r="M882" s="36" t="n">
        <f aca="false">IF(A882="",0,IFERROR(INDEX(Items!$E$5:$E$304,MATCH(D882,Items!$A$5:$A$304,0)),0))</f>
        <v>0</v>
      </c>
      <c r="N882" s="37" t="str">
        <f aca="false">IF(A882="","",IFERROR(INDEX(Customers!$E$5:$E$204,MATCH(C882,Customers!$A$5:$A$204,0)),"?"))</f>
        <v/>
      </c>
      <c r="O882" s="38" t="str">
        <f aca="false">IF(A882="","",IF(N882=Settings!$B$17,"No","Yes"))</f>
        <v/>
      </c>
      <c r="P882" s="35" t="n">
        <f aca="false">IF(O882="Yes",ROUND(L882*M882,2),0)</f>
        <v>0</v>
      </c>
      <c r="Q882" s="35" t="n">
        <f aca="false">IF(O882="No",ROUND(L882*M882/2,2),0)</f>
        <v>0</v>
      </c>
      <c r="R882" s="35" t="n">
        <f aca="false">Q882</f>
        <v>0</v>
      </c>
      <c r="S882" s="35" t="n">
        <f aca="false">L882+P882+Q882+R882</f>
        <v>0</v>
      </c>
      <c r="T882" s="34" t="str">
        <f aca="false">IF(A882="","",IFERROR(INDEX(Customers!$B$5:$B$204,MATCH(C882,Customers!$A$5:$A$204,0))&amp;"",""))</f>
        <v/>
      </c>
      <c r="U882" s="38" t="str">
        <f aca="false">IF(A882="","",IF(T882&lt;&gt;"","B2B",IF(AND(O882="Yes",SUMIF($A$5:$A$1004,A882,$L$5:$L$1004)+SUMIF($A$5:$A$1004,A882,$P$5:$P$1004)&gt;100000),"B2CL","B2CS")))</f>
        <v/>
      </c>
      <c r="V882" s="17" t="str">
        <f aca="false">IF(A882="","",TEXT(B882,"mmm-yyyy"))</f>
        <v/>
      </c>
    </row>
    <row r="883" customFormat="false" ht="15" hidden="false" customHeight="true" outlineLevel="0" collapsed="false">
      <c r="A883" s="24"/>
      <c r="B883" s="39"/>
      <c r="C883" s="24"/>
      <c r="D883" s="24"/>
      <c r="E883" s="40"/>
      <c r="F883" s="29"/>
      <c r="G883" s="30"/>
      <c r="H883" s="17" t="str">
        <f aca="false">IF(A883="","",A883&amp;"|"&amp;COUNTIF(A$5:A883,A883))</f>
        <v/>
      </c>
      <c r="I883" s="33" t="str">
        <f aca="false">IF(A883="","",IFERROR(INDEX(Items!$B$5:$B$304,MATCH(D883,Items!$A$5:$A$304,0))&amp;"",""))</f>
        <v/>
      </c>
      <c r="J883" s="34" t="str">
        <f aca="false">IF(A883="","",IFERROR(INDEX(Items!$C$5:$C$304,MATCH(D883,Items!$A$5:$A$304,0))&amp;"",""))</f>
        <v/>
      </c>
      <c r="K883" s="35" t="n">
        <f aca="false">IF(A883="",0,IF(ISNUMBER(F883),F883,IFERROR(INDEX(Items!$D$5:$D$304,MATCH(D883,Items!$A$5:$A$304,0)),0)))</f>
        <v>0</v>
      </c>
      <c r="L883" s="35" t="n">
        <f aca="false">ROUND(N(E883)*K883*(1-N(G883)),2)</f>
        <v>0</v>
      </c>
      <c r="M883" s="36" t="n">
        <f aca="false">IF(A883="",0,IFERROR(INDEX(Items!$E$5:$E$304,MATCH(D883,Items!$A$5:$A$304,0)),0))</f>
        <v>0</v>
      </c>
      <c r="N883" s="37" t="str">
        <f aca="false">IF(A883="","",IFERROR(INDEX(Customers!$E$5:$E$204,MATCH(C883,Customers!$A$5:$A$204,0)),"?"))</f>
        <v/>
      </c>
      <c r="O883" s="38" t="str">
        <f aca="false">IF(A883="","",IF(N883=Settings!$B$17,"No","Yes"))</f>
        <v/>
      </c>
      <c r="P883" s="35" t="n">
        <f aca="false">IF(O883="Yes",ROUND(L883*M883,2),0)</f>
        <v>0</v>
      </c>
      <c r="Q883" s="35" t="n">
        <f aca="false">IF(O883="No",ROUND(L883*M883/2,2),0)</f>
        <v>0</v>
      </c>
      <c r="R883" s="35" t="n">
        <f aca="false">Q883</f>
        <v>0</v>
      </c>
      <c r="S883" s="35" t="n">
        <f aca="false">L883+P883+Q883+R883</f>
        <v>0</v>
      </c>
      <c r="T883" s="34" t="str">
        <f aca="false">IF(A883="","",IFERROR(INDEX(Customers!$B$5:$B$204,MATCH(C883,Customers!$A$5:$A$204,0))&amp;"",""))</f>
        <v/>
      </c>
      <c r="U883" s="38" t="str">
        <f aca="false">IF(A883="","",IF(T883&lt;&gt;"","B2B",IF(AND(O883="Yes",SUMIF($A$5:$A$1004,A883,$L$5:$L$1004)+SUMIF($A$5:$A$1004,A883,$P$5:$P$1004)&gt;100000),"B2CL","B2CS")))</f>
        <v/>
      </c>
      <c r="V883" s="17" t="str">
        <f aca="false">IF(A883="","",TEXT(B883,"mmm-yyyy"))</f>
        <v/>
      </c>
    </row>
    <row r="884" customFormat="false" ht="15" hidden="false" customHeight="true" outlineLevel="0" collapsed="false">
      <c r="A884" s="24"/>
      <c r="B884" s="39"/>
      <c r="C884" s="24"/>
      <c r="D884" s="24"/>
      <c r="E884" s="40"/>
      <c r="F884" s="29"/>
      <c r="G884" s="30"/>
      <c r="H884" s="17" t="str">
        <f aca="false">IF(A884="","",A884&amp;"|"&amp;COUNTIF(A$5:A884,A884))</f>
        <v/>
      </c>
      <c r="I884" s="33" t="str">
        <f aca="false">IF(A884="","",IFERROR(INDEX(Items!$B$5:$B$304,MATCH(D884,Items!$A$5:$A$304,0))&amp;"",""))</f>
        <v/>
      </c>
      <c r="J884" s="34" t="str">
        <f aca="false">IF(A884="","",IFERROR(INDEX(Items!$C$5:$C$304,MATCH(D884,Items!$A$5:$A$304,0))&amp;"",""))</f>
        <v/>
      </c>
      <c r="K884" s="35" t="n">
        <f aca="false">IF(A884="",0,IF(ISNUMBER(F884),F884,IFERROR(INDEX(Items!$D$5:$D$304,MATCH(D884,Items!$A$5:$A$304,0)),0)))</f>
        <v>0</v>
      </c>
      <c r="L884" s="35" t="n">
        <f aca="false">ROUND(N(E884)*K884*(1-N(G884)),2)</f>
        <v>0</v>
      </c>
      <c r="M884" s="36" t="n">
        <f aca="false">IF(A884="",0,IFERROR(INDEX(Items!$E$5:$E$304,MATCH(D884,Items!$A$5:$A$304,0)),0))</f>
        <v>0</v>
      </c>
      <c r="N884" s="37" t="str">
        <f aca="false">IF(A884="","",IFERROR(INDEX(Customers!$E$5:$E$204,MATCH(C884,Customers!$A$5:$A$204,0)),"?"))</f>
        <v/>
      </c>
      <c r="O884" s="38" t="str">
        <f aca="false">IF(A884="","",IF(N884=Settings!$B$17,"No","Yes"))</f>
        <v/>
      </c>
      <c r="P884" s="35" t="n">
        <f aca="false">IF(O884="Yes",ROUND(L884*M884,2),0)</f>
        <v>0</v>
      </c>
      <c r="Q884" s="35" t="n">
        <f aca="false">IF(O884="No",ROUND(L884*M884/2,2),0)</f>
        <v>0</v>
      </c>
      <c r="R884" s="35" t="n">
        <f aca="false">Q884</f>
        <v>0</v>
      </c>
      <c r="S884" s="35" t="n">
        <f aca="false">L884+P884+Q884+R884</f>
        <v>0</v>
      </c>
      <c r="T884" s="34" t="str">
        <f aca="false">IF(A884="","",IFERROR(INDEX(Customers!$B$5:$B$204,MATCH(C884,Customers!$A$5:$A$204,0))&amp;"",""))</f>
        <v/>
      </c>
      <c r="U884" s="38" t="str">
        <f aca="false">IF(A884="","",IF(T884&lt;&gt;"","B2B",IF(AND(O884="Yes",SUMIF($A$5:$A$1004,A884,$L$5:$L$1004)+SUMIF($A$5:$A$1004,A884,$P$5:$P$1004)&gt;100000),"B2CL","B2CS")))</f>
        <v/>
      </c>
      <c r="V884" s="17" t="str">
        <f aca="false">IF(A884="","",TEXT(B884,"mmm-yyyy"))</f>
        <v/>
      </c>
    </row>
    <row r="885" customFormat="false" ht="15" hidden="false" customHeight="true" outlineLevel="0" collapsed="false">
      <c r="A885" s="24"/>
      <c r="B885" s="39"/>
      <c r="C885" s="24"/>
      <c r="D885" s="24"/>
      <c r="E885" s="40"/>
      <c r="F885" s="29"/>
      <c r="G885" s="30"/>
      <c r="H885" s="17" t="str">
        <f aca="false">IF(A885="","",A885&amp;"|"&amp;COUNTIF(A$5:A885,A885))</f>
        <v/>
      </c>
      <c r="I885" s="33" t="str">
        <f aca="false">IF(A885="","",IFERROR(INDEX(Items!$B$5:$B$304,MATCH(D885,Items!$A$5:$A$304,0))&amp;"",""))</f>
        <v/>
      </c>
      <c r="J885" s="34" t="str">
        <f aca="false">IF(A885="","",IFERROR(INDEX(Items!$C$5:$C$304,MATCH(D885,Items!$A$5:$A$304,0))&amp;"",""))</f>
        <v/>
      </c>
      <c r="K885" s="35" t="n">
        <f aca="false">IF(A885="",0,IF(ISNUMBER(F885),F885,IFERROR(INDEX(Items!$D$5:$D$304,MATCH(D885,Items!$A$5:$A$304,0)),0)))</f>
        <v>0</v>
      </c>
      <c r="L885" s="35" t="n">
        <f aca="false">ROUND(N(E885)*K885*(1-N(G885)),2)</f>
        <v>0</v>
      </c>
      <c r="M885" s="36" t="n">
        <f aca="false">IF(A885="",0,IFERROR(INDEX(Items!$E$5:$E$304,MATCH(D885,Items!$A$5:$A$304,0)),0))</f>
        <v>0</v>
      </c>
      <c r="N885" s="37" t="str">
        <f aca="false">IF(A885="","",IFERROR(INDEX(Customers!$E$5:$E$204,MATCH(C885,Customers!$A$5:$A$204,0)),"?"))</f>
        <v/>
      </c>
      <c r="O885" s="38" t="str">
        <f aca="false">IF(A885="","",IF(N885=Settings!$B$17,"No","Yes"))</f>
        <v/>
      </c>
      <c r="P885" s="35" t="n">
        <f aca="false">IF(O885="Yes",ROUND(L885*M885,2),0)</f>
        <v>0</v>
      </c>
      <c r="Q885" s="35" t="n">
        <f aca="false">IF(O885="No",ROUND(L885*M885/2,2),0)</f>
        <v>0</v>
      </c>
      <c r="R885" s="35" t="n">
        <f aca="false">Q885</f>
        <v>0</v>
      </c>
      <c r="S885" s="35" t="n">
        <f aca="false">L885+P885+Q885+R885</f>
        <v>0</v>
      </c>
      <c r="T885" s="34" t="str">
        <f aca="false">IF(A885="","",IFERROR(INDEX(Customers!$B$5:$B$204,MATCH(C885,Customers!$A$5:$A$204,0))&amp;"",""))</f>
        <v/>
      </c>
      <c r="U885" s="38" t="str">
        <f aca="false">IF(A885="","",IF(T885&lt;&gt;"","B2B",IF(AND(O885="Yes",SUMIF($A$5:$A$1004,A885,$L$5:$L$1004)+SUMIF($A$5:$A$1004,A885,$P$5:$P$1004)&gt;100000),"B2CL","B2CS")))</f>
        <v/>
      </c>
      <c r="V885" s="17" t="str">
        <f aca="false">IF(A885="","",TEXT(B885,"mmm-yyyy"))</f>
        <v/>
      </c>
    </row>
    <row r="886" customFormat="false" ht="15" hidden="false" customHeight="true" outlineLevel="0" collapsed="false">
      <c r="A886" s="24"/>
      <c r="B886" s="39"/>
      <c r="C886" s="24"/>
      <c r="D886" s="24"/>
      <c r="E886" s="40"/>
      <c r="F886" s="29"/>
      <c r="G886" s="30"/>
      <c r="H886" s="17" t="str">
        <f aca="false">IF(A886="","",A886&amp;"|"&amp;COUNTIF(A$5:A886,A886))</f>
        <v/>
      </c>
      <c r="I886" s="33" t="str">
        <f aca="false">IF(A886="","",IFERROR(INDEX(Items!$B$5:$B$304,MATCH(D886,Items!$A$5:$A$304,0))&amp;"",""))</f>
        <v/>
      </c>
      <c r="J886" s="34" t="str">
        <f aca="false">IF(A886="","",IFERROR(INDEX(Items!$C$5:$C$304,MATCH(D886,Items!$A$5:$A$304,0))&amp;"",""))</f>
        <v/>
      </c>
      <c r="K886" s="35" t="n">
        <f aca="false">IF(A886="",0,IF(ISNUMBER(F886),F886,IFERROR(INDEX(Items!$D$5:$D$304,MATCH(D886,Items!$A$5:$A$304,0)),0)))</f>
        <v>0</v>
      </c>
      <c r="L886" s="35" t="n">
        <f aca="false">ROUND(N(E886)*K886*(1-N(G886)),2)</f>
        <v>0</v>
      </c>
      <c r="M886" s="36" t="n">
        <f aca="false">IF(A886="",0,IFERROR(INDEX(Items!$E$5:$E$304,MATCH(D886,Items!$A$5:$A$304,0)),0))</f>
        <v>0</v>
      </c>
      <c r="N886" s="37" t="str">
        <f aca="false">IF(A886="","",IFERROR(INDEX(Customers!$E$5:$E$204,MATCH(C886,Customers!$A$5:$A$204,0)),"?"))</f>
        <v/>
      </c>
      <c r="O886" s="38" t="str">
        <f aca="false">IF(A886="","",IF(N886=Settings!$B$17,"No","Yes"))</f>
        <v/>
      </c>
      <c r="P886" s="35" t="n">
        <f aca="false">IF(O886="Yes",ROUND(L886*M886,2),0)</f>
        <v>0</v>
      </c>
      <c r="Q886" s="35" t="n">
        <f aca="false">IF(O886="No",ROUND(L886*M886/2,2),0)</f>
        <v>0</v>
      </c>
      <c r="R886" s="35" t="n">
        <f aca="false">Q886</f>
        <v>0</v>
      </c>
      <c r="S886" s="35" t="n">
        <f aca="false">L886+P886+Q886+R886</f>
        <v>0</v>
      </c>
      <c r="T886" s="34" t="str">
        <f aca="false">IF(A886="","",IFERROR(INDEX(Customers!$B$5:$B$204,MATCH(C886,Customers!$A$5:$A$204,0))&amp;"",""))</f>
        <v/>
      </c>
      <c r="U886" s="38" t="str">
        <f aca="false">IF(A886="","",IF(T886&lt;&gt;"","B2B",IF(AND(O886="Yes",SUMIF($A$5:$A$1004,A886,$L$5:$L$1004)+SUMIF($A$5:$A$1004,A886,$P$5:$P$1004)&gt;100000),"B2CL","B2CS")))</f>
        <v/>
      </c>
      <c r="V886" s="17" t="str">
        <f aca="false">IF(A886="","",TEXT(B886,"mmm-yyyy"))</f>
        <v/>
      </c>
    </row>
    <row r="887" customFormat="false" ht="15" hidden="false" customHeight="true" outlineLevel="0" collapsed="false">
      <c r="A887" s="24"/>
      <c r="B887" s="39"/>
      <c r="C887" s="24"/>
      <c r="D887" s="24"/>
      <c r="E887" s="40"/>
      <c r="F887" s="29"/>
      <c r="G887" s="30"/>
      <c r="H887" s="17" t="str">
        <f aca="false">IF(A887="","",A887&amp;"|"&amp;COUNTIF(A$5:A887,A887))</f>
        <v/>
      </c>
      <c r="I887" s="33" t="str">
        <f aca="false">IF(A887="","",IFERROR(INDEX(Items!$B$5:$B$304,MATCH(D887,Items!$A$5:$A$304,0))&amp;"",""))</f>
        <v/>
      </c>
      <c r="J887" s="34" t="str">
        <f aca="false">IF(A887="","",IFERROR(INDEX(Items!$C$5:$C$304,MATCH(D887,Items!$A$5:$A$304,0))&amp;"",""))</f>
        <v/>
      </c>
      <c r="K887" s="35" t="n">
        <f aca="false">IF(A887="",0,IF(ISNUMBER(F887),F887,IFERROR(INDEX(Items!$D$5:$D$304,MATCH(D887,Items!$A$5:$A$304,0)),0)))</f>
        <v>0</v>
      </c>
      <c r="L887" s="35" t="n">
        <f aca="false">ROUND(N(E887)*K887*(1-N(G887)),2)</f>
        <v>0</v>
      </c>
      <c r="M887" s="36" t="n">
        <f aca="false">IF(A887="",0,IFERROR(INDEX(Items!$E$5:$E$304,MATCH(D887,Items!$A$5:$A$304,0)),0))</f>
        <v>0</v>
      </c>
      <c r="N887" s="37" t="str">
        <f aca="false">IF(A887="","",IFERROR(INDEX(Customers!$E$5:$E$204,MATCH(C887,Customers!$A$5:$A$204,0)),"?"))</f>
        <v/>
      </c>
      <c r="O887" s="38" t="str">
        <f aca="false">IF(A887="","",IF(N887=Settings!$B$17,"No","Yes"))</f>
        <v/>
      </c>
      <c r="P887" s="35" t="n">
        <f aca="false">IF(O887="Yes",ROUND(L887*M887,2),0)</f>
        <v>0</v>
      </c>
      <c r="Q887" s="35" t="n">
        <f aca="false">IF(O887="No",ROUND(L887*M887/2,2),0)</f>
        <v>0</v>
      </c>
      <c r="R887" s="35" t="n">
        <f aca="false">Q887</f>
        <v>0</v>
      </c>
      <c r="S887" s="35" t="n">
        <f aca="false">L887+P887+Q887+R887</f>
        <v>0</v>
      </c>
      <c r="T887" s="34" t="str">
        <f aca="false">IF(A887="","",IFERROR(INDEX(Customers!$B$5:$B$204,MATCH(C887,Customers!$A$5:$A$204,0))&amp;"",""))</f>
        <v/>
      </c>
      <c r="U887" s="38" t="str">
        <f aca="false">IF(A887="","",IF(T887&lt;&gt;"","B2B",IF(AND(O887="Yes",SUMIF($A$5:$A$1004,A887,$L$5:$L$1004)+SUMIF($A$5:$A$1004,A887,$P$5:$P$1004)&gt;100000),"B2CL","B2CS")))</f>
        <v/>
      </c>
      <c r="V887" s="17" t="str">
        <f aca="false">IF(A887="","",TEXT(B887,"mmm-yyyy"))</f>
        <v/>
      </c>
    </row>
    <row r="888" customFormat="false" ht="15" hidden="false" customHeight="true" outlineLevel="0" collapsed="false">
      <c r="A888" s="24"/>
      <c r="B888" s="39"/>
      <c r="C888" s="24"/>
      <c r="D888" s="24"/>
      <c r="E888" s="40"/>
      <c r="F888" s="29"/>
      <c r="G888" s="30"/>
      <c r="H888" s="17" t="str">
        <f aca="false">IF(A888="","",A888&amp;"|"&amp;COUNTIF(A$5:A888,A888))</f>
        <v/>
      </c>
      <c r="I888" s="33" t="str">
        <f aca="false">IF(A888="","",IFERROR(INDEX(Items!$B$5:$B$304,MATCH(D888,Items!$A$5:$A$304,0))&amp;"",""))</f>
        <v/>
      </c>
      <c r="J888" s="34" t="str">
        <f aca="false">IF(A888="","",IFERROR(INDEX(Items!$C$5:$C$304,MATCH(D888,Items!$A$5:$A$304,0))&amp;"",""))</f>
        <v/>
      </c>
      <c r="K888" s="35" t="n">
        <f aca="false">IF(A888="",0,IF(ISNUMBER(F888),F888,IFERROR(INDEX(Items!$D$5:$D$304,MATCH(D888,Items!$A$5:$A$304,0)),0)))</f>
        <v>0</v>
      </c>
      <c r="L888" s="35" t="n">
        <f aca="false">ROUND(N(E888)*K888*(1-N(G888)),2)</f>
        <v>0</v>
      </c>
      <c r="M888" s="36" t="n">
        <f aca="false">IF(A888="",0,IFERROR(INDEX(Items!$E$5:$E$304,MATCH(D888,Items!$A$5:$A$304,0)),0))</f>
        <v>0</v>
      </c>
      <c r="N888" s="37" t="str">
        <f aca="false">IF(A888="","",IFERROR(INDEX(Customers!$E$5:$E$204,MATCH(C888,Customers!$A$5:$A$204,0)),"?"))</f>
        <v/>
      </c>
      <c r="O888" s="38" t="str">
        <f aca="false">IF(A888="","",IF(N888=Settings!$B$17,"No","Yes"))</f>
        <v/>
      </c>
      <c r="P888" s="35" t="n">
        <f aca="false">IF(O888="Yes",ROUND(L888*M888,2),0)</f>
        <v>0</v>
      </c>
      <c r="Q888" s="35" t="n">
        <f aca="false">IF(O888="No",ROUND(L888*M888/2,2),0)</f>
        <v>0</v>
      </c>
      <c r="R888" s="35" t="n">
        <f aca="false">Q888</f>
        <v>0</v>
      </c>
      <c r="S888" s="35" t="n">
        <f aca="false">L888+P888+Q888+R888</f>
        <v>0</v>
      </c>
      <c r="T888" s="34" t="str">
        <f aca="false">IF(A888="","",IFERROR(INDEX(Customers!$B$5:$B$204,MATCH(C888,Customers!$A$5:$A$204,0))&amp;"",""))</f>
        <v/>
      </c>
      <c r="U888" s="38" t="str">
        <f aca="false">IF(A888="","",IF(T888&lt;&gt;"","B2B",IF(AND(O888="Yes",SUMIF($A$5:$A$1004,A888,$L$5:$L$1004)+SUMIF($A$5:$A$1004,A888,$P$5:$P$1004)&gt;100000),"B2CL","B2CS")))</f>
        <v/>
      </c>
      <c r="V888" s="17" t="str">
        <f aca="false">IF(A888="","",TEXT(B888,"mmm-yyyy"))</f>
        <v/>
      </c>
    </row>
    <row r="889" customFormat="false" ht="15" hidden="false" customHeight="true" outlineLevel="0" collapsed="false">
      <c r="A889" s="24"/>
      <c r="B889" s="39"/>
      <c r="C889" s="24"/>
      <c r="D889" s="24"/>
      <c r="E889" s="40"/>
      <c r="F889" s="29"/>
      <c r="G889" s="30"/>
      <c r="H889" s="17" t="str">
        <f aca="false">IF(A889="","",A889&amp;"|"&amp;COUNTIF(A$5:A889,A889))</f>
        <v/>
      </c>
      <c r="I889" s="33" t="str">
        <f aca="false">IF(A889="","",IFERROR(INDEX(Items!$B$5:$B$304,MATCH(D889,Items!$A$5:$A$304,0))&amp;"",""))</f>
        <v/>
      </c>
      <c r="J889" s="34" t="str">
        <f aca="false">IF(A889="","",IFERROR(INDEX(Items!$C$5:$C$304,MATCH(D889,Items!$A$5:$A$304,0))&amp;"",""))</f>
        <v/>
      </c>
      <c r="K889" s="35" t="n">
        <f aca="false">IF(A889="",0,IF(ISNUMBER(F889),F889,IFERROR(INDEX(Items!$D$5:$D$304,MATCH(D889,Items!$A$5:$A$304,0)),0)))</f>
        <v>0</v>
      </c>
      <c r="L889" s="35" t="n">
        <f aca="false">ROUND(N(E889)*K889*(1-N(G889)),2)</f>
        <v>0</v>
      </c>
      <c r="M889" s="36" t="n">
        <f aca="false">IF(A889="",0,IFERROR(INDEX(Items!$E$5:$E$304,MATCH(D889,Items!$A$5:$A$304,0)),0))</f>
        <v>0</v>
      </c>
      <c r="N889" s="37" t="str">
        <f aca="false">IF(A889="","",IFERROR(INDEX(Customers!$E$5:$E$204,MATCH(C889,Customers!$A$5:$A$204,0)),"?"))</f>
        <v/>
      </c>
      <c r="O889" s="38" t="str">
        <f aca="false">IF(A889="","",IF(N889=Settings!$B$17,"No","Yes"))</f>
        <v/>
      </c>
      <c r="P889" s="35" t="n">
        <f aca="false">IF(O889="Yes",ROUND(L889*M889,2),0)</f>
        <v>0</v>
      </c>
      <c r="Q889" s="35" t="n">
        <f aca="false">IF(O889="No",ROUND(L889*M889/2,2),0)</f>
        <v>0</v>
      </c>
      <c r="R889" s="35" t="n">
        <f aca="false">Q889</f>
        <v>0</v>
      </c>
      <c r="S889" s="35" t="n">
        <f aca="false">L889+P889+Q889+R889</f>
        <v>0</v>
      </c>
      <c r="T889" s="34" t="str">
        <f aca="false">IF(A889="","",IFERROR(INDEX(Customers!$B$5:$B$204,MATCH(C889,Customers!$A$5:$A$204,0))&amp;"",""))</f>
        <v/>
      </c>
      <c r="U889" s="38" t="str">
        <f aca="false">IF(A889="","",IF(T889&lt;&gt;"","B2B",IF(AND(O889="Yes",SUMIF($A$5:$A$1004,A889,$L$5:$L$1004)+SUMIF($A$5:$A$1004,A889,$P$5:$P$1004)&gt;100000),"B2CL","B2CS")))</f>
        <v/>
      </c>
      <c r="V889" s="17" t="str">
        <f aca="false">IF(A889="","",TEXT(B889,"mmm-yyyy"))</f>
        <v/>
      </c>
    </row>
    <row r="890" customFormat="false" ht="15" hidden="false" customHeight="true" outlineLevel="0" collapsed="false">
      <c r="A890" s="24"/>
      <c r="B890" s="39"/>
      <c r="C890" s="24"/>
      <c r="D890" s="24"/>
      <c r="E890" s="40"/>
      <c r="F890" s="29"/>
      <c r="G890" s="30"/>
      <c r="H890" s="17" t="str">
        <f aca="false">IF(A890="","",A890&amp;"|"&amp;COUNTIF(A$5:A890,A890))</f>
        <v/>
      </c>
      <c r="I890" s="33" t="str">
        <f aca="false">IF(A890="","",IFERROR(INDEX(Items!$B$5:$B$304,MATCH(D890,Items!$A$5:$A$304,0))&amp;"",""))</f>
        <v/>
      </c>
      <c r="J890" s="34" t="str">
        <f aca="false">IF(A890="","",IFERROR(INDEX(Items!$C$5:$C$304,MATCH(D890,Items!$A$5:$A$304,0))&amp;"",""))</f>
        <v/>
      </c>
      <c r="K890" s="35" t="n">
        <f aca="false">IF(A890="",0,IF(ISNUMBER(F890),F890,IFERROR(INDEX(Items!$D$5:$D$304,MATCH(D890,Items!$A$5:$A$304,0)),0)))</f>
        <v>0</v>
      </c>
      <c r="L890" s="35" t="n">
        <f aca="false">ROUND(N(E890)*K890*(1-N(G890)),2)</f>
        <v>0</v>
      </c>
      <c r="M890" s="36" t="n">
        <f aca="false">IF(A890="",0,IFERROR(INDEX(Items!$E$5:$E$304,MATCH(D890,Items!$A$5:$A$304,0)),0))</f>
        <v>0</v>
      </c>
      <c r="N890" s="37" t="str">
        <f aca="false">IF(A890="","",IFERROR(INDEX(Customers!$E$5:$E$204,MATCH(C890,Customers!$A$5:$A$204,0)),"?"))</f>
        <v/>
      </c>
      <c r="O890" s="38" t="str">
        <f aca="false">IF(A890="","",IF(N890=Settings!$B$17,"No","Yes"))</f>
        <v/>
      </c>
      <c r="P890" s="35" t="n">
        <f aca="false">IF(O890="Yes",ROUND(L890*M890,2),0)</f>
        <v>0</v>
      </c>
      <c r="Q890" s="35" t="n">
        <f aca="false">IF(O890="No",ROUND(L890*M890/2,2),0)</f>
        <v>0</v>
      </c>
      <c r="R890" s="35" t="n">
        <f aca="false">Q890</f>
        <v>0</v>
      </c>
      <c r="S890" s="35" t="n">
        <f aca="false">L890+P890+Q890+R890</f>
        <v>0</v>
      </c>
      <c r="T890" s="34" t="str">
        <f aca="false">IF(A890="","",IFERROR(INDEX(Customers!$B$5:$B$204,MATCH(C890,Customers!$A$5:$A$204,0))&amp;"",""))</f>
        <v/>
      </c>
      <c r="U890" s="38" t="str">
        <f aca="false">IF(A890="","",IF(T890&lt;&gt;"","B2B",IF(AND(O890="Yes",SUMIF($A$5:$A$1004,A890,$L$5:$L$1004)+SUMIF($A$5:$A$1004,A890,$P$5:$P$1004)&gt;100000),"B2CL","B2CS")))</f>
        <v/>
      </c>
      <c r="V890" s="17" t="str">
        <f aca="false">IF(A890="","",TEXT(B890,"mmm-yyyy"))</f>
        <v/>
      </c>
    </row>
    <row r="891" customFormat="false" ht="15" hidden="false" customHeight="true" outlineLevel="0" collapsed="false">
      <c r="A891" s="24"/>
      <c r="B891" s="39"/>
      <c r="C891" s="24"/>
      <c r="D891" s="24"/>
      <c r="E891" s="40"/>
      <c r="F891" s="29"/>
      <c r="G891" s="30"/>
      <c r="H891" s="17" t="str">
        <f aca="false">IF(A891="","",A891&amp;"|"&amp;COUNTIF(A$5:A891,A891))</f>
        <v/>
      </c>
      <c r="I891" s="33" t="str">
        <f aca="false">IF(A891="","",IFERROR(INDEX(Items!$B$5:$B$304,MATCH(D891,Items!$A$5:$A$304,0))&amp;"",""))</f>
        <v/>
      </c>
      <c r="J891" s="34" t="str">
        <f aca="false">IF(A891="","",IFERROR(INDEX(Items!$C$5:$C$304,MATCH(D891,Items!$A$5:$A$304,0))&amp;"",""))</f>
        <v/>
      </c>
      <c r="K891" s="35" t="n">
        <f aca="false">IF(A891="",0,IF(ISNUMBER(F891),F891,IFERROR(INDEX(Items!$D$5:$D$304,MATCH(D891,Items!$A$5:$A$304,0)),0)))</f>
        <v>0</v>
      </c>
      <c r="L891" s="35" t="n">
        <f aca="false">ROUND(N(E891)*K891*(1-N(G891)),2)</f>
        <v>0</v>
      </c>
      <c r="M891" s="36" t="n">
        <f aca="false">IF(A891="",0,IFERROR(INDEX(Items!$E$5:$E$304,MATCH(D891,Items!$A$5:$A$304,0)),0))</f>
        <v>0</v>
      </c>
      <c r="N891" s="37" t="str">
        <f aca="false">IF(A891="","",IFERROR(INDEX(Customers!$E$5:$E$204,MATCH(C891,Customers!$A$5:$A$204,0)),"?"))</f>
        <v/>
      </c>
      <c r="O891" s="38" t="str">
        <f aca="false">IF(A891="","",IF(N891=Settings!$B$17,"No","Yes"))</f>
        <v/>
      </c>
      <c r="P891" s="35" t="n">
        <f aca="false">IF(O891="Yes",ROUND(L891*M891,2),0)</f>
        <v>0</v>
      </c>
      <c r="Q891" s="35" t="n">
        <f aca="false">IF(O891="No",ROUND(L891*M891/2,2),0)</f>
        <v>0</v>
      </c>
      <c r="R891" s="35" t="n">
        <f aca="false">Q891</f>
        <v>0</v>
      </c>
      <c r="S891" s="35" t="n">
        <f aca="false">L891+P891+Q891+R891</f>
        <v>0</v>
      </c>
      <c r="T891" s="34" t="str">
        <f aca="false">IF(A891="","",IFERROR(INDEX(Customers!$B$5:$B$204,MATCH(C891,Customers!$A$5:$A$204,0))&amp;"",""))</f>
        <v/>
      </c>
      <c r="U891" s="38" t="str">
        <f aca="false">IF(A891="","",IF(T891&lt;&gt;"","B2B",IF(AND(O891="Yes",SUMIF($A$5:$A$1004,A891,$L$5:$L$1004)+SUMIF($A$5:$A$1004,A891,$P$5:$P$1004)&gt;100000),"B2CL","B2CS")))</f>
        <v/>
      </c>
      <c r="V891" s="17" t="str">
        <f aca="false">IF(A891="","",TEXT(B891,"mmm-yyyy"))</f>
        <v/>
      </c>
    </row>
    <row r="892" customFormat="false" ht="15" hidden="false" customHeight="true" outlineLevel="0" collapsed="false">
      <c r="A892" s="24"/>
      <c r="B892" s="39"/>
      <c r="C892" s="24"/>
      <c r="D892" s="24"/>
      <c r="E892" s="40"/>
      <c r="F892" s="29"/>
      <c r="G892" s="30"/>
      <c r="H892" s="17" t="str">
        <f aca="false">IF(A892="","",A892&amp;"|"&amp;COUNTIF(A$5:A892,A892))</f>
        <v/>
      </c>
      <c r="I892" s="33" t="str">
        <f aca="false">IF(A892="","",IFERROR(INDEX(Items!$B$5:$B$304,MATCH(D892,Items!$A$5:$A$304,0))&amp;"",""))</f>
        <v/>
      </c>
      <c r="J892" s="34" t="str">
        <f aca="false">IF(A892="","",IFERROR(INDEX(Items!$C$5:$C$304,MATCH(D892,Items!$A$5:$A$304,0))&amp;"",""))</f>
        <v/>
      </c>
      <c r="K892" s="35" t="n">
        <f aca="false">IF(A892="",0,IF(ISNUMBER(F892),F892,IFERROR(INDEX(Items!$D$5:$D$304,MATCH(D892,Items!$A$5:$A$304,0)),0)))</f>
        <v>0</v>
      </c>
      <c r="L892" s="35" t="n">
        <f aca="false">ROUND(N(E892)*K892*(1-N(G892)),2)</f>
        <v>0</v>
      </c>
      <c r="M892" s="36" t="n">
        <f aca="false">IF(A892="",0,IFERROR(INDEX(Items!$E$5:$E$304,MATCH(D892,Items!$A$5:$A$304,0)),0))</f>
        <v>0</v>
      </c>
      <c r="N892" s="37" t="str">
        <f aca="false">IF(A892="","",IFERROR(INDEX(Customers!$E$5:$E$204,MATCH(C892,Customers!$A$5:$A$204,0)),"?"))</f>
        <v/>
      </c>
      <c r="O892" s="38" t="str">
        <f aca="false">IF(A892="","",IF(N892=Settings!$B$17,"No","Yes"))</f>
        <v/>
      </c>
      <c r="P892" s="35" t="n">
        <f aca="false">IF(O892="Yes",ROUND(L892*M892,2),0)</f>
        <v>0</v>
      </c>
      <c r="Q892" s="35" t="n">
        <f aca="false">IF(O892="No",ROUND(L892*M892/2,2),0)</f>
        <v>0</v>
      </c>
      <c r="R892" s="35" t="n">
        <f aca="false">Q892</f>
        <v>0</v>
      </c>
      <c r="S892" s="35" t="n">
        <f aca="false">L892+P892+Q892+R892</f>
        <v>0</v>
      </c>
      <c r="T892" s="34" t="str">
        <f aca="false">IF(A892="","",IFERROR(INDEX(Customers!$B$5:$B$204,MATCH(C892,Customers!$A$5:$A$204,0))&amp;"",""))</f>
        <v/>
      </c>
      <c r="U892" s="38" t="str">
        <f aca="false">IF(A892="","",IF(T892&lt;&gt;"","B2B",IF(AND(O892="Yes",SUMIF($A$5:$A$1004,A892,$L$5:$L$1004)+SUMIF($A$5:$A$1004,A892,$P$5:$P$1004)&gt;100000),"B2CL","B2CS")))</f>
        <v/>
      </c>
      <c r="V892" s="17" t="str">
        <f aca="false">IF(A892="","",TEXT(B892,"mmm-yyyy"))</f>
        <v/>
      </c>
    </row>
    <row r="893" customFormat="false" ht="15" hidden="false" customHeight="true" outlineLevel="0" collapsed="false">
      <c r="A893" s="24"/>
      <c r="B893" s="39"/>
      <c r="C893" s="24"/>
      <c r="D893" s="24"/>
      <c r="E893" s="40"/>
      <c r="F893" s="29"/>
      <c r="G893" s="30"/>
      <c r="H893" s="17" t="str">
        <f aca="false">IF(A893="","",A893&amp;"|"&amp;COUNTIF(A$5:A893,A893))</f>
        <v/>
      </c>
      <c r="I893" s="33" t="str">
        <f aca="false">IF(A893="","",IFERROR(INDEX(Items!$B$5:$B$304,MATCH(D893,Items!$A$5:$A$304,0))&amp;"",""))</f>
        <v/>
      </c>
      <c r="J893" s="34" t="str">
        <f aca="false">IF(A893="","",IFERROR(INDEX(Items!$C$5:$C$304,MATCH(D893,Items!$A$5:$A$304,0))&amp;"",""))</f>
        <v/>
      </c>
      <c r="K893" s="35" t="n">
        <f aca="false">IF(A893="",0,IF(ISNUMBER(F893),F893,IFERROR(INDEX(Items!$D$5:$D$304,MATCH(D893,Items!$A$5:$A$304,0)),0)))</f>
        <v>0</v>
      </c>
      <c r="L893" s="35" t="n">
        <f aca="false">ROUND(N(E893)*K893*(1-N(G893)),2)</f>
        <v>0</v>
      </c>
      <c r="M893" s="36" t="n">
        <f aca="false">IF(A893="",0,IFERROR(INDEX(Items!$E$5:$E$304,MATCH(D893,Items!$A$5:$A$304,0)),0))</f>
        <v>0</v>
      </c>
      <c r="N893" s="37" t="str">
        <f aca="false">IF(A893="","",IFERROR(INDEX(Customers!$E$5:$E$204,MATCH(C893,Customers!$A$5:$A$204,0)),"?"))</f>
        <v/>
      </c>
      <c r="O893" s="38" t="str">
        <f aca="false">IF(A893="","",IF(N893=Settings!$B$17,"No","Yes"))</f>
        <v/>
      </c>
      <c r="P893" s="35" t="n">
        <f aca="false">IF(O893="Yes",ROUND(L893*M893,2),0)</f>
        <v>0</v>
      </c>
      <c r="Q893" s="35" t="n">
        <f aca="false">IF(O893="No",ROUND(L893*M893/2,2),0)</f>
        <v>0</v>
      </c>
      <c r="R893" s="35" t="n">
        <f aca="false">Q893</f>
        <v>0</v>
      </c>
      <c r="S893" s="35" t="n">
        <f aca="false">L893+P893+Q893+R893</f>
        <v>0</v>
      </c>
      <c r="T893" s="34" t="str">
        <f aca="false">IF(A893="","",IFERROR(INDEX(Customers!$B$5:$B$204,MATCH(C893,Customers!$A$5:$A$204,0))&amp;"",""))</f>
        <v/>
      </c>
      <c r="U893" s="38" t="str">
        <f aca="false">IF(A893="","",IF(T893&lt;&gt;"","B2B",IF(AND(O893="Yes",SUMIF($A$5:$A$1004,A893,$L$5:$L$1004)+SUMIF($A$5:$A$1004,A893,$P$5:$P$1004)&gt;100000),"B2CL","B2CS")))</f>
        <v/>
      </c>
      <c r="V893" s="17" t="str">
        <f aca="false">IF(A893="","",TEXT(B893,"mmm-yyyy"))</f>
        <v/>
      </c>
    </row>
    <row r="894" customFormat="false" ht="15" hidden="false" customHeight="true" outlineLevel="0" collapsed="false">
      <c r="A894" s="24"/>
      <c r="B894" s="39"/>
      <c r="C894" s="24"/>
      <c r="D894" s="24"/>
      <c r="E894" s="40"/>
      <c r="F894" s="29"/>
      <c r="G894" s="30"/>
      <c r="H894" s="17" t="str">
        <f aca="false">IF(A894="","",A894&amp;"|"&amp;COUNTIF(A$5:A894,A894))</f>
        <v/>
      </c>
      <c r="I894" s="33" t="str">
        <f aca="false">IF(A894="","",IFERROR(INDEX(Items!$B$5:$B$304,MATCH(D894,Items!$A$5:$A$304,0))&amp;"",""))</f>
        <v/>
      </c>
      <c r="J894" s="34" t="str">
        <f aca="false">IF(A894="","",IFERROR(INDEX(Items!$C$5:$C$304,MATCH(D894,Items!$A$5:$A$304,0))&amp;"",""))</f>
        <v/>
      </c>
      <c r="K894" s="35" t="n">
        <f aca="false">IF(A894="",0,IF(ISNUMBER(F894),F894,IFERROR(INDEX(Items!$D$5:$D$304,MATCH(D894,Items!$A$5:$A$304,0)),0)))</f>
        <v>0</v>
      </c>
      <c r="L894" s="35" t="n">
        <f aca="false">ROUND(N(E894)*K894*(1-N(G894)),2)</f>
        <v>0</v>
      </c>
      <c r="M894" s="36" t="n">
        <f aca="false">IF(A894="",0,IFERROR(INDEX(Items!$E$5:$E$304,MATCH(D894,Items!$A$5:$A$304,0)),0))</f>
        <v>0</v>
      </c>
      <c r="N894" s="37" t="str">
        <f aca="false">IF(A894="","",IFERROR(INDEX(Customers!$E$5:$E$204,MATCH(C894,Customers!$A$5:$A$204,0)),"?"))</f>
        <v/>
      </c>
      <c r="O894" s="38" t="str">
        <f aca="false">IF(A894="","",IF(N894=Settings!$B$17,"No","Yes"))</f>
        <v/>
      </c>
      <c r="P894" s="35" t="n">
        <f aca="false">IF(O894="Yes",ROUND(L894*M894,2),0)</f>
        <v>0</v>
      </c>
      <c r="Q894" s="35" t="n">
        <f aca="false">IF(O894="No",ROUND(L894*M894/2,2),0)</f>
        <v>0</v>
      </c>
      <c r="R894" s="35" t="n">
        <f aca="false">Q894</f>
        <v>0</v>
      </c>
      <c r="S894" s="35" t="n">
        <f aca="false">L894+P894+Q894+R894</f>
        <v>0</v>
      </c>
      <c r="T894" s="34" t="str">
        <f aca="false">IF(A894="","",IFERROR(INDEX(Customers!$B$5:$B$204,MATCH(C894,Customers!$A$5:$A$204,0))&amp;"",""))</f>
        <v/>
      </c>
      <c r="U894" s="38" t="str">
        <f aca="false">IF(A894="","",IF(T894&lt;&gt;"","B2B",IF(AND(O894="Yes",SUMIF($A$5:$A$1004,A894,$L$5:$L$1004)+SUMIF($A$5:$A$1004,A894,$P$5:$P$1004)&gt;100000),"B2CL","B2CS")))</f>
        <v/>
      </c>
      <c r="V894" s="17" t="str">
        <f aca="false">IF(A894="","",TEXT(B894,"mmm-yyyy"))</f>
        <v/>
      </c>
    </row>
    <row r="895" customFormat="false" ht="15" hidden="false" customHeight="true" outlineLevel="0" collapsed="false">
      <c r="A895" s="24"/>
      <c r="B895" s="39"/>
      <c r="C895" s="24"/>
      <c r="D895" s="24"/>
      <c r="E895" s="40"/>
      <c r="F895" s="29"/>
      <c r="G895" s="30"/>
      <c r="H895" s="17" t="str">
        <f aca="false">IF(A895="","",A895&amp;"|"&amp;COUNTIF(A$5:A895,A895))</f>
        <v/>
      </c>
      <c r="I895" s="33" t="str">
        <f aca="false">IF(A895="","",IFERROR(INDEX(Items!$B$5:$B$304,MATCH(D895,Items!$A$5:$A$304,0))&amp;"",""))</f>
        <v/>
      </c>
      <c r="J895" s="34" t="str">
        <f aca="false">IF(A895="","",IFERROR(INDEX(Items!$C$5:$C$304,MATCH(D895,Items!$A$5:$A$304,0))&amp;"",""))</f>
        <v/>
      </c>
      <c r="K895" s="35" t="n">
        <f aca="false">IF(A895="",0,IF(ISNUMBER(F895),F895,IFERROR(INDEX(Items!$D$5:$D$304,MATCH(D895,Items!$A$5:$A$304,0)),0)))</f>
        <v>0</v>
      </c>
      <c r="L895" s="35" t="n">
        <f aca="false">ROUND(N(E895)*K895*(1-N(G895)),2)</f>
        <v>0</v>
      </c>
      <c r="M895" s="36" t="n">
        <f aca="false">IF(A895="",0,IFERROR(INDEX(Items!$E$5:$E$304,MATCH(D895,Items!$A$5:$A$304,0)),0))</f>
        <v>0</v>
      </c>
      <c r="N895" s="37" t="str">
        <f aca="false">IF(A895="","",IFERROR(INDEX(Customers!$E$5:$E$204,MATCH(C895,Customers!$A$5:$A$204,0)),"?"))</f>
        <v/>
      </c>
      <c r="O895" s="38" t="str">
        <f aca="false">IF(A895="","",IF(N895=Settings!$B$17,"No","Yes"))</f>
        <v/>
      </c>
      <c r="P895" s="35" t="n">
        <f aca="false">IF(O895="Yes",ROUND(L895*M895,2),0)</f>
        <v>0</v>
      </c>
      <c r="Q895" s="35" t="n">
        <f aca="false">IF(O895="No",ROUND(L895*M895/2,2),0)</f>
        <v>0</v>
      </c>
      <c r="R895" s="35" t="n">
        <f aca="false">Q895</f>
        <v>0</v>
      </c>
      <c r="S895" s="35" t="n">
        <f aca="false">L895+P895+Q895+R895</f>
        <v>0</v>
      </c>
      <c r="T895" s="34" t="str">
        <f aca="false">IF(A895="","",IFERROR(INDEX(Customers!$B$5:$B$204,MATCH(C895,Customers!$A$5:$A$204,0))&amp;"",""))</f>
        <v/>
      </c>
      <c r="U895" s="38" t="str">
        <f aca="false">IF(A895="","",IF(T895&lt;&gt;"","B2B",IF(AND(O895="Yes",SUMIF($A$5:$A$1004,A895,$L$5:$L$1004)+SUMIF($A$5:$A$1004,A895,$P$5:$P$1004)&gt;100000),"B2CL","B2CS")))</f>
        <v/>
      </c>
      <c r="V895" s="17" t="str">
        <f aca="false">IF(A895="","",TEXT(B895,"mmm-yyyy"))</f>
        <v/>
      </c>
    </row>
    <row r="896" customFormat="false" ht="15" hidden="false" customHeight="true" outlineLevel="0" collapsed="false">
      <c r="A896" s="24"/>
      <c r="B896" s="39"/>
      <c r="C896" s="24"/>
      <c r="D896" s="24"/>
      <c r="E896" s="40"/>
      <c r="F896" s="29"/>
      <c r="G896" s="30"/>
      <c r="H896" s="17" t="str">
        <f aca="false">IF(A896="","",A896&amp;"|"&amp;COUNTIF(A$5:A896,A896))</f>
        <v/>
      </c>
      <c r="I896" s="33" t="str">
        <f aca="false">IF(A896="","",IFERROR(INDEX(Items!$B$5:$B$304,MATCH(D896,Items!$A$5:$A$304,0))&amp;"",""))</f>
        <v/>
      </c>
      <c r="J896" s="34" t="str">
        <f aca="false">IF(A896="","",IFERROR(INDEX(Items!$C$5:$C$304,MATCH(D896,Items!$A$5:$A$304,0))&amp;"",""))</f>
        <v/>
      </c>
      <c r="K896" s="35" t="n">
        <f aca="false">IF(A896="",0,IF(ISNUMBER(F896),F896,IFERROR(INDEX(Items!$D$5:$D$304,MATCH(D896,Items!$A$5:$A$304,0)),0)))</f>
        <v>0</v>
      </c>
      <c r="L896" s="35" t="n">
        <f aca="false">ROUND(N(E896)*K896*(1-N(G896)),2)</f>
        <v>0</v>
      </c>
      <c r="M896" s="36" t="n">
        <f aca="false">IF(A896="",0,IFERROR(INDEX(Items!$E$5:$E$304,MATCH(D896,Items!$A$5:$A$304,0)),0))</f>
        <v>0</v>
      </c>
      <c r="N896" s="37" t="str">
        <f aca="false">IF(A896="","",IFERROR(INDEX(Customers!$E$5:$E$204,MATCH(C896,Customers!$A$5:$A$204,0)),"?"))</f>
        <v/>
      </c>
      <c r="O896" s="38" t="str">
        <f aca="false">IF(A896="","",IF(N896=Settings!$B$17,"No","Yes"))</f>
        <v/>
      </c>
      <c r="P896" s="35" t="n">
        <f aca="false">IF(O896="Yes",ROUND(L896*M896,2),0)</f>
        <v>0</v>
      </c>
      <c r="Q896" s="35" t="n">
        <f aca="false">IF(O896="No",ROUND(L896*M896/2,2),0)</f>
        <v>0</v>
      </c>
      <c r="R896" s="35" t="n">
        <f aca="false">Q896</f>
        <v>0</v>
      </c>
      <c r="S896" s="35" t="n">
        <f aca="false">L896+P896+Q896+R896</f>
        <v>0</v>
      </c>
      <c r="T896" s="34" t="str">
        <f aca="false">IF(A896="","",IFERROR(INDEX(Customers!$B$5:$B$204,MATCH(C896,Customers!$A$5:$A$204,0))&amp;"",""))</f>
        <v/>
      </c>
      <c r="U896" s="38" t="str">
        <f aca="false">IF(A896="","",IF(T896&lt;&gt;"","B2B",IF(AND(O896="Yes",SUMIF($A$5:$A$1004,A896,$L$5:$L$1004)+SUMIF($A$5:$A$1004,A896,$P$5:$P$1004)&gt;100000),"B2CL","B2CS")))</f>
        <v/>
      </c>
      <c r="V896" s="17" t="str">
        <f aca="false">IF(A896="","",TEXT(B896,"mmm-yyyy"))</f>
        <v/>
      </c>
    </row>
    <row r="897" customFormat="false" ht="15" hidden="false" customHeight="true" outlineLevel="0" collapsed="false">
      <c r="A897" s="24"/>
      <c r="B897" s="39"/>
      <c r="C897" s="24"/>
      <c r="D897" s="24"/>
      <c r="E897" s="40"/>
      <c r="F897" s="29"/>
      <c r="G897" s="30"/>
      <c r="H897" s="17" t="str">
        <f aca="false">IF(A897="","",A897&amp;"|"&amp;COUNTIF(A$5:A897,A897))</f>
        <v/>
      </c>
      <c r="I897" s="33" t="str">
        <f aca="false">IF(A897="","",IFERROR(INDEX(Items!$B$5:$B$304,MATCH(D897,Items!$A$5:$A$304,0))&amp;"",""))</f>
        <v/>
      </c>
      <c r="J897" s="34" t="str">
        <f aca="false">IF(A897="","",IFERROR(INDEX(Items!$C$5:$C$304,MATCH(D897,Items!$A$5:$A$304,0))&amp;"",""))</f>
        <v/>
      </c>
      <c r="K897" s="35" t="n">
        <f aca="false">IF(A897="",0,IF(ISNUMBER(F897),F897,IFERROR(INDEX(Items!$D$5:$D$304,MATCH(D897,Items!$A$5:$A$304,0)),0)))</f>
        <v>0</v>
      </c>
      <c r="L897" s="35" t="n">
        <f aca="false">ROUND(N(E897)*K897*(1-N(G897)),2)</f>
        <v>0</v>
      </c>
      <c r="M897" s="36" t="n">
        <f aca="false">IF(A897="",0,IFERROR(INDEX(Items!$E$5:$E$304,MATCH(D897,Items!$A$5:$A$304,0)),0))</f>
        <v>0</v>
      </c>
      <c r="N897" s="37" t="str">
        <f aca="false">IF(A897="","",IFERROR(INDEX(Customers!$E$5:$E$204,MATCH(C897,Customers!$A$5:$A$204,0)),"?"))</f>
        <v/>
      </c>
      <c r="O897" s="38" t="str">
        <f aca="false">IF(A897="","",IF(N897=Settings!$B$17,"No","Yes"))</f>
        <v/>
      </c>
      <c r="P897" s="35" t="n">
        <f aca="false">IF(O897="Yes",ROUND(L897*M897,2),0)</f>
        <v>0</v>
      </c>
      <c r="Q897" s="35" t="n">
        <f aca="false">IF(O897="No",ROUND(L897*M897/2,2),0)</f>
        <v>0</v>
      </c>
      <c r="R897" s="35" t="n">
        <f aca="false">Q897</f>
        <v>0</v>
      </c>
      <c r="S897" s="35" t="n">
        <f aca="false">L897+P897+Q897+R897</f>
        <v>0</v>
      </c>
      <c r="T897" s="34" t="str">
        <f aca="false">IF(A897="","",IFERROR(INDEX(Customers!$B$5:$B$204,MATCH(C897,Customers!$A$5:$A$204,0))&amp;"",""))</f>
        <v/>
      </c>
      <c r="U897" s="38" t="str">
        <f aca="false">IF(A897="","",IF(T897&lt;&gt;"","B2B",IF(AND(O897="Yes",SUMIF($A$5:$A$1004,A897,$L$5:$L$1004)+SUMIF($A$5:$A$1004,A897,$P$5:$P$1004)&gt;100000),"B2CL","B2CS")))</f>
        <v/>
      </c>
      <c r="V897" s="17" t="str">
        <f aca="false">IF(A897="","",TEXT(B897,"mmm-yyyy"))</f>
        <v/>
      </c>
    </row>
    <row r="898" customFormat="false" ht="15" hidden="false" customHeight="true" outlineLevel="0" collapsed="false">
      <c r="A898" s="24"/>
      <c r="B898" s="39"/>
      <c r="C898" s="24"/>
      <c r="D898" s="24"/>
      <c r="E898" s="40"/>
      <c r="F898" s="29"/>
      <c r="G898" s="30"/>
      <c r="H898" s="17" t="str">
        <f aca="false">IF(A898="","",A898&amp;"|"&amp;COUNTIF(A$5:A898,A898))</f>
        <v/>
      </c>
      <c r="I898" s="33" t="str">
        <f aca="false">IF(A898="","",IFERROR(INDEX(Items!$B$5:$B$304,MATCH(D898,Items!$A$5:$A$304,0))&amp;"",""))</f>
        <v/>
      </c>
      <c r="J898" s="34" t="str">
        <f aca="false">IF(A898="","",IFERROR(INDEX(Items!$C$5:$C$304,MATCH(D898,Items!$A$5:$A$304,0))&amp;"",""))</f>
        <v/>
      </c>
      <c r="K898" s="35" t="n">
        <f aca="false">IF(A898="",0,IF(ISNUMBER(F898),F898,IFERROR(INDEX(Items!$D$5:$D$304,MATCH(D898,Items!$A$5:$A$304,0)),0)))</f>
        <v>0</v>
      </c>
      <c r="L898" s="35" t="n">
        <f aca="false">ROUND(N(E898)*K898*(1-N(G898)),2)</f>
        <v>0</v>
      </c>
      <c r="M898" s="36" t="n">
        <f aca="false">IF(A898="",0,IFERROR(INDEX(Items!$E$5:$E$304,MATCH(D898,Items!$A$5:$A$304,0)),0))</f>
        <v>0</v>
      </c>
      <c r="N898" s="37" t="str">
        <f aca="false">IF(A898="","",IFERROR(INDEX(Customers!$E$5:$E$204,MATCH(C898,Customers!$A$5:$A$204,0)),"?"))</f>
        <v/>
      </c>
      <c r="O898" s="38" t="str">
        <f aca="false">IF(A898="","",IF(N898=Settings!$B$17,"No","Yes"))</f>
        <v/>
      </c>
      <c r="P898" s="35" t="n">
        <f aca="false">IF(O898="Yes",ROUND(L898*M898,2),0)</f>
        <v>0</v>
      </c>
      <c r="Q898" s="35" t="n">
        <f aca="false">IF(O898="No",ROUND(L898*M898/2,2),0)</f>
        <v>0</v>
      </c>
      <c r="R898" s="35" t="n">
        <f aca="false">Q898</f>
        <v>0</v>
      </c>
      <c r="S898" s="35" t="n">
        <f aca="false">L898+P898+Q898+R898</f>
        <v>0</v>
      </c>
      <c r="T898" s="34" t="str">
        <f aca="false">IF(A898="","",IFERROR(INDEX(Customers!$B$5:$B$204,MATCH(C898,Customers!$A$5:$A$204,0))&amp;"",""))</f>
        <v/>
      </c>
      <c r="U898" s="38" t="str">
        <f aca="false">IF(A898="","",IF(T898&lt;&gt;"","B2B",IF(AND(O898="Yes",SUMIF($A$5:$A$1004,A898,$L$5:$L$1004)+SUMIF($A$5:$A$1004,A898,$P$5:$P$1004)&gt;100000),"B2CL","B2CS")))</f>
        <v/>
      </c>
      <c r="V898" s="17" t="str">
        <f aca="false">IF(A898="","",TEXT(B898,"mmm-yyyy"))</f>
        <v/>
      </c>
    </row>
    <row r="899" customFormat="false" ht="15" hidden="false" customHeight="true" outlineLevel="0" collapsed="false">
      <c r="A899" s="24"/>
      <c r="B899" s="39"/>
      <c r="C899" s="24"/>
      <c r="D899" s="24"/>
      <c r="E899" s="40"/>
      <c r="F899" s="29"/>
      <c r="G899" s="30"/>
      <c r="H899" s="17" t="str">
        <f aca="false">IF(A899="","",A899&amp;"|"&amp;COUNTIF(A$5:A899,A899))</f>
        <v/>
      </c>
      <c r="I899" s="33" t="str">
        <f aca="false">IF(A899="","",IFERROR(INDEX(Items!$B$5:$B$304,MATCH(D899,Items!$A$5:$A$304,0))&amp;"",""))</f>
        <v/>
      </c>
      <c r="J899" s="34" t="str">
        <f aca="false">IF(A899="","",IFERROR(INDEX(Items!$C$5:$C$304,MATCH(D899,Items!$A$5:$A$304,0))&amp;"",""))</f>
        <v/>
      </c>
      <c r="K899" s="35" t="n">
        <f aca="false">IF(A899="",0,IF(ISNUMBER(F899),F899,IFERROR(INDEX(Items!$D$5:$D$304,MATCH(D899,Items!$A$5:$A$304,0)),0)))</f>
        <v>0</v>
      </c>
      <c r="L899" s="35" t="n">
        <f aca="false">ROUND(N(E899)*K899*(1-N(G899)),2)</f>
        <v>0</v>
      </c>
      <c r="M899" s="36" t="n">
        <f aca="false">IF(A899="",0,IFERROR(INDEX(Items!$E$5:$E$304,MATCH(D899,Items!$A$5:$A$304,0)),0))</f>
        <v>0</v>
      </c>
      <c r="N899" s="37" t="str">
        <f aca="false">IF(A899="","",IFERROR(INDEX(Customers!$E$5:$E$204,MATCH(C899,Customers!$A$5:$A$204,0)),"?"))</f>
        <v/>
      </c>
      <c r="O899" s="38" t="str">
        <f aca="false">IF(A899="","",IF(N899=Settings!$B$17,"No","Yes"))</f>
        <v/>
      </c>
      <c r="P899" s="35" t="n">
        <f aca="false">IF(O899="Yes",ROUND(L899*M899,2),0)</f>
        <v>0</v>
      </c>
      <c r="Q899" s="35" t="n">
        <f aca="false">IF(O899="No",ROUND(L899*M899/2,2),0)</f>
        <v>0</v>
      </c>
      <c r="R899" s="35" t="n">
        <f aca="false">Q899</f>
        <v>0</v>
      </c>
      <c r="S899" s="35" t="n">
        <f aca="false">L899+P899+Q899+R899</f>
        <v>0</v>
      </c>
      <c r="T899" s="34" t="str">
        <f aca="false">IF(A899="","",IFERROR(INDEX(Customers!$B$5:$B$204,MATCH(C899,Customers!$A$5:$A$204,0))&amp;"",""))</f>
        <v/>
      </c>
      <c r="U899" s="38" t="str">
        <f aca="false">IF(A899="","",IF(T899&lt;&gt;"","B2B",IF(AND(O899="Yes",SUMIF($A$5:$A$1004,A899,$L$5:$L$1004)+SUMIF($A$5:$A$1004,A899,$P$5:$P$1004)&gt;100000),"B2CL","B2CS")))</f>
        <v/>
      </c>
      <c r="V899" s="17" t="str">
        <f aca="false">IF(A899="","",TEXT(B899,"mmm-yyyy"))</f>
        <v/>
      </c>
    </row>
    <row r="900" customFormat="false" ht="15" hidden="false" customHeight="true" outlineLevel="0" collapsed="false">
      <c r="A900" s="24"/>
      <c r="B900" s="39"/>
      <c r="C900" s="24"/>
      <c r="D900" s="24"/>
      <c r="E900" s="40"/>
      <c r="F900" s="29"/>
      <c r="G900" s="30"/>
      <c r="H900" s="17" t="str">
        <f aca="false">IF(A900="","",A900&amp;"|"&amp;COUNTIF(A$5:A900,A900))</f>
        <v/>
      </c>
      <c r="I900" s="33" t="str">
        <f aca="false">IF(A900="","",IFERROR(INDEX(Items!$B$5:$B$304,MATCH(D900,Items!$A$5:$A$304,0))&amp;"",""))</f>
        <v/>
      </c>
      <c r="J900" s="34" t="str">
        <f aca="false">IF(A900="","",IFERROR(INDEX(Items!$C$5:$C$304,MATCH(D900,Items!$A$5:$A$304,0))&amp;"",""))</f>
        <v/>
      </c>
      <c r="K900" s="35" t="n">
        <f aca="false">IF(A900="",0,IF(ISNUMBER(F900),F900,IFERROR(INDEX(Items!$D$5:$D$304,MATCH(D900,Items!$A$5:$A$304,0)),0)))</f>
        <v>0</v>
      </c>
      <c r="L900" s="35" t="n">
        <f aca="false">ROUND(N(E900)*K900*(1-N(G900)),2)</f>
        <v>0</v>
      </c>
      <c r="M900" s="36" t="n">
        <f aca="false">IF(A900="",0,IFERROR(INDEX(Items!$E$5:$E$304,MATCH(D900,Items!$A$5:$A$304,0)),0))</f>
        <v>0</v>
      </c>
      <c r="N900" s="37" t="str">
        <f aca="false">IF(A900="","",IFERROR(INDEX(Customers!$E$5:$E$204,MATCH(C900,Customers!$A$5:$A$204,0)),"?"))</f>
        <v/>
      </c>
      <c r="O900" s="38" t="str">
        <f aca="false">IF(A900="","",IF(N900=Settings!$B$17,"No","Yes"))</f>
        <v/>
      </c>
      <c r="P900" s="35" t="n">
        <f aca="false">IF(O900="Yes",ROUND(L900*M900,2),0)</f>
        <v>0</v>
      </c>
      <c r="Q900" s="35" t="n">
        <f aca="false">IF(O900="No",ROUND(L900*M900/2,2),0)</f>
        <v>0</v>
      </c>
      <c r="R900" s="35" t="n">
        <f aca="false">Q900</f>
        <v>0</v>
      </c>
      <c r="S900" s="35" t="n">
        <f aca="false">L900+P900+Q900+R900</f>
        <v>0</v>
      </c>
      <c r="T900" s="34" t="str">
        <f aca="false">IF(A900="","",IFERROR(INDEX(Customers!$B$5:$B$204,MATCH(C900,Customers!$A$5:$A$204,0))&amp;"",""))</f>
        <v/>
      </c>
      <c r="U900" s="38" t="str">
        <f aca="false">IF(A900="","",IF(T900&lt;&gt;"","B2B",IF(AND(O900="Yes",SUMIF($A$5:$A$1004,A900,$L$5:$L$1004)+SUMIF($A$5:$A$1004,A900,$P$5:$P$1004)&gt;100000),"B2CL","B2CS")))</f>
        <v/>
      </c>
      <c r="V900" s="17" t="str">
        <f aca="false">IF(A900="","",TEXT(B900,"mmm-yyyy"))</f>
        <v/>
      </c>
    </row>
    <row r="901" customFormat="false" ht="15" hidden="false" customHeight="true" outlineLevel="0" collapsed="false">
      <c r="A901" s="24"/>
      <c r="B901" s="39"/>
      <c r="C901" s="24"/>
      <c r="D901" s="24"/>
      <c r="E901" s="40"/>
      <c r="F901" s="29"/>
      <c r="G901" s="30"/>
      <c r="H901" s="17" t="str">
        <f aca="false">IF(A901="","",A901&amp;"|"&amp;COUNTIF(A$5:A901,A901))</f>
        <v/>
      </c>
      <c r="I901" s="33" t="str">
        <f aca="false">IF(A901="","",IFERROR(INDEX(Items!$B$5:$B$304,MATCH(D901,Items!$A$5:$A$304,0))&amp;"",""))</f>
        <v/>
      </c>
      <c r="J901" s="34" t="str">
        <f aca="false">IF(A901="","",IFERROR(INDEX(Items!$C$5:$C$304,MATCH(D901,Items!$A$5:$A$304,0))&amp;"",""))</f>
        <v/>
      </c>
      <c r="K901" s="35" t="n">
        <f aca="false">IF(A901="",0,IF(ISNUMBER(F901),F901,IFERROR(INDEX(Items!$D$5:$D$304,MATCH(D901,Items!$A$5:$A$304,0)),0)))</f>
        <v>0</v>
      </c>
      <c r="L901" s="35" t="n">
        <f aca="false">ROUND(N(E901)*K901*(1-N(G901)),2)</f>
        <v>0</v>
      </c>
      <c r="M901" s="36" t="n">
        <f aca="false">IF(A901="",0,IFERROR(INDEX(Items!$E$5:$E$304,MATCH(D901,Items!$A$5:$A$304,0)),0))</f>
        <v>0</v>
      </c>
      <c r="N901" s="37" t="str">
        <f aca="false">IF(A901="","",IFERROR(INDEX(Customers!$E$5:$E$204,MATCH(C901,Customers!$A$5:$A$204,0)),"?"))</f>
        <v/>
      </c>
      <c r="O901" s="38" t="str">
        <f aca="false">IF(A901="","",IF(N901=Settings!$B$17,"No","Yes"))</f>
        <v/>
      </c>
      <c r="P901" s="35" t="n">
        <f aca="false">IF(O901="Yes",ROUND(L901*M901,2),0)</f>
        <v>0</v>
      </c>
      <c r="Q901" s="35" t="n">
        <f aca="false">IF(O901="No",ROUND(L901*M901/2,2),0)</f>
        <v>0</v>
      </c>
      <c r="R901" s="35" t="n">
        <f aca="false">Q901</f>
        <v>0</v>
      </c>
      <c r="S901" s="35" t="n">
        <f aca="false">L901+P901+Q901+R901</f>
        <v>0</v>
      </c>
      <c r="T901" s="34" t="str">
        <f aca="false">IF(A901="","",IFERROR(INDEX(Customers!$B$5:$B$204,MATCH(C901,Customers!$A$5:$A$204,0))&amp;"",""))</f>
        <v/>
      </c>
      <c r="U901" s="38" t="str">
        <f aca="false">IF(A901="","",IF(T901&lt;&gt;"","B2B",IF(AND(O901="Yes",SUMIF($A$5:$A$1004,A901,$L$5:$L$1004)+SUMIF($A$5:$A$1004,A901,$P$5:$P$1004)&gt;100000),"B2CL","B2CS")))</f>
        <v/>
      </c>
      <c r="V901" s="17" t="str">
        <f aca="false">IF(A901="","",TEXT(B901,"mmm-yyyy"))</f>
        <v/>
      </c>
    </row>
    <row r="902" customFormat="false" ht="15" hidden="false" customHeight="true" outlineLevel="0" collapsed="false">
      <c r="A902" s="24"/>
      <c r="B902" s="39"/>
      <c r="C902" s="24"/>
      <c r="D902" s="24"/>
      <c r="E902" s="40"/>
      <c r="F902" s="29"/>
      <c r="G902" s="30"/>
      <c r="H902" s="17" t="str">
        <f aca="false">IF(A902="","",A902&amp;"|"&amp;COUNTIF(A$5:A902,A902))</f>
        <v/>
      </c>
      <c r="I902" s="33" t="str">
        <f aca="false">IF(A902="","",IFERROR(INDEX(Items!$B$5:$B$304,MATCH(D902,Items!$A$5:$A$304,0))&amp;"",""))</f>
        <v/>
      </c>
      <c r="J902" s="34" t="str">
        <f aca="false">IF(A902="","",IFERROR(INDEX(Items!$C$5:$C$304,MATCH(D902,Items!$A$5:$A$304,0))&amp;"",""))</f>
        <v/>
      </c>
      <c r="K902" s="35" t="n">
        <f aca="false">IF(A902="",0,IF(ISNUMBER(F902),F902,IFERROR(INDEX(Items!$D$5:$D$304,MATCH(D902,Items!$A$5:$A$304,0)),0)))</f>
        <v>0</v>
      </c>
      <c r="L902" s="35" t="n">
        <f aca="false">ROUND(N(E902)*K902*(1-N(G902)),2)</f>
        <v>0</v>
      </c>
      <c r="M902" s="36" t="n">
        <f aca="false">IF(A902="",0,IFERROR(INDEX(Items!$E$5:$E$304,MATCH(D902,Items!$A$5:$A$304,0)),0))</f>
        <v>0</v>
      </c>
      <c r="N902" s="37" t="str">
        <f aca="false">IF(A902="","",IFERROR(INDEX(Customers!$E$5:$E$204,MATCH(C902,Customers!$A$5:$A$204,0)),"?"))</f>
        <v/>
      </c>
      <c r="O902" s="38" t="str">
        <f aca="false">IF(A902="","",IF(N902=Settings!$B$17,"No","Yes"))</f>
        <v/>
      </c>
      <c r="P902" s="35" t="n">
        <f aca="false">IF(O902="Yes",ROUND(L902*M902,2),0)</f>
        <v>0</v>
      </c>
      <c r="Q902" s="35" t="n">
        <f aca="false">IF(O902="No",ROUND(L902*M902/2,2),0)</f>
        <v>0</v>
      </c>
      <c r="R902" s="35" t="n">
        <f aca="false">Q902</f>
        <v>0</v>
      </c>
      <c r="S902" s="35" t="n">
        <f aca="false">L902+P902+Q902+R902</f>
        <v>0</v>
      </c>
      <c r="T902" s="34" t="str">
        <f aca="false">IF(A902="","",IFERROR(INDEX(Customers!$B$5:$B$204,MATCH(C902,Customers!$A$5:$A$204,0))&amp;"",""))</f>
        <v/>
      </c>
      <c r="U902" s="38" t="str">
        <f aca="false">IF(A902="","",IF(T902&lt;&gt;"","B2B",IF(AND(O902="Yes",SUMIF($A$5:$A$1004,A902,$L$5:$L$1004)+SUMIF($A$5:$A$1004,A902,$P$5:$P$1004)&gt;100000),"B2CL","B2CS")))</f>
        <v/>
      </c>
      <c r="V902" s="17" t="str">
        <f aca="false">IF(A902="","",TEXT(B902,"mmm-yyyy"))</f>
        <v/>
      </c>
    </row>
    <row r="903" customFormat="false" ht="15" hidden="false" customHeight="true" outlineLevel="0" collapsed="false">
      <c r="A903" s="24"/>
      <c r="B903" s="39"/>
      <c r="C903" s="24"/>
      <c r="D903" s="24"/>
      <c r="E903" s="40"/>
      <c r="F903" s="29"/>
      <c r="G903" s="30"/>
      <c r="H903" s="17" t="str">
        <f aca="false">IF(A903="","",A903&amp;"|"&amp;COUNTIF(A$5:A903,A903))</f>
        <v/>
      </c>
      <c r="I903" s="33" t="str">
        <f aca="false">IF(A903="","",IFERROR(INDEX(Items!$B$5:$B$304,MATCH(D903,Items!$A$5:$A$304,0))&amp;"",""))</f>
        <v/>
      </c>
      <c r="J903" s="34" t="str">
        <f aca="false">IF(A903="","",IFERROR(INDEX(Items!$C$5:$C$304,MATCH(D903,Items!$A$5:$A$304,0))&amp;"",""))</f>
        <v/>
      </c>
      <c r="K903" s="35" t="n">
        <f aca="false">IF(A903="",0,IF(ISNUMBER(F903),F903,IFERROR(INDEX(Items!$D$5:$D$304,MATCH(D903,Items!$A$5:$A$304,0)),0)))</f>
        <v>0</v>
      </c>
      <c r="L903" s="35" t="n">
        <f aca="false">ROUND(N(E903)*K903*(1-N(G903)),2)</f>
        <v>0</v>
      </c>
      <c r="M903" s="36" t="n">
        <f aca="false">IF(A903="",0,IFERROR(INDEX(Items!$E$5:$E$304,MATCH(D903,Items!$A$5:$A$304,0)),0))</f>
        <v>0</v>
      </c>
      <c r="N903" s="37" t="str">
        <f aca="false">IF(A903="","",IFERROR(INDEX(Customers!$E$5:$E$204,MATCH(C903,Customers!$A$5:$A$204,0)),"?"))</f>
        <v/>
      </c>
      <c r="O903" s="38" t="str">
        <f aca="false">IF(A903="","",IF(N903=Settings!$B$17,"No","Yes"))</f>
        <v/>
      </c>
      <c r="P903" s="35" t="n">
        <f aca="false">IF(O903="Yes",ROUND(L903*M903,2),0)</f>
        <v>0</v>
      </c>
      <c r="Q903" s="35" t="n">
        <f aca="false">IF(O903="No",ROUND(L903*M903/2,2),0)</f>
        <v>0</v>
      </c>
      <c r="R903" s="35" t="n">
        <f aca="false">Q903</f>
        <v>0</v>
      </c>
      <c r="S903" s="35" t="n">
        <f aca="false">L903+P903+Q903+R903</f>
        <v>0</v>
      </c>
      <c r="T903" s="34" t="str">
        <f aca="false">IF(A903="","",IFERROR(INDEX(Customers!$B$5:$B$204,MATCH(C903,Customers!$A$5:$A$204,0))&amp;"",""))</f>
        <v/>
      </c>
      <c r="U903" s="38" t="str">
        <f aca="false">IF(A903="","",IF(T903&lt;&gt;"","B2B",IF(AND(O903="Yes",SUMIF($A$5:$A$1004,A903,$L$5:$L$1004)+SUMIF($A$5:$A$1004,A903,$P$5:$P$1004)&gt;100000),"B2CL","B2CS")))</f>
        <v/>
      </c>
      <c r="V903" s="17" t="str">
        <f aca="false">IF(A903="","",TEXT(B903,"mmm-yyyy"))</f>
        <v/>
      </c>
    </row>
    <row r="904" customFormat="false" ht="15" hidden="false" customHeight="true" outlineLevel="0" collapsed="false">
      <c r="A904" s="24"/>
      <c r="B904" s="39"/>
      <c r="C904" s="24"/>
      <c r="D904" s="24"/>
      <c r="E904" s="40"/>
      <c r="F904" s="29"/>
      <c r="G904" s="30"/>
      <c r="H904" s="17" t="str">
        <f aca="false">IF(A904="","",A904&amp;"|"&amp;COUNTIF(A$5:A904,A904))</f>
        <v/>
      </c>
      <c r="I904" s="33" t="str">
        <f aca="false">IF(A904="","",IFERROR(INDEX(Items!$B$5:$B$304,MATCH(D904,Items!$A$5:$A$304,0))&amp;"",""))</f>
        <v/>
      </c>
      <c r="J904" s="34" t="str">
        <f aca="false">IF(A904="","",IFERROR(INDEX(Items!$C$5:$C$304,MATCH(D904,Items!$A$5:$A$304,0))&amp;"",""))</f>
        <v/>
      </c>
      <c r="K904" s="35" t="n">
        <f aca="false">IF(A904="",0,IF(ISNUMBER(F904),F904,IFERROR(INDEX(Items!$D$5:$D$304,MATCH(D904,Items!$A$5:$A$304,0)),0)))</f>
        <v>0</v>
      </c>
      <c r="L904" s="35" t="n">
        <f aca="false">ROUND(N(E904)*K904*(1-N(G904)),2)</f>
        <v>0</v>
      </c>
      <c r="M904" s="36" t="n">
        <f aca="false">IF(A904="",0,IFERROR(INDEX(Items!$E$5:$E$304,MATCH(D904,Items!$A$5:$A$304,0)),0))</f>
        <v>0</v>
      </c>
      <c r="N904" s="37" t="str">
        <f aca="false">IF(A904="","",IFERROR(INDEX(Customers!$E$5:$E$204,MATCH(C904,Customers!$A$5:$A$204,0)),"?"))</f>
        <v/>
      </c>
      <c r="O904" s="38" t="str">
        <f aca="false">IF(A904="","",IF(N904=Settings!$B$17,"No","Yes"))</f>
        <v/>
      </c>
      <c r="P904" s="35" t="n">
        <f aca="false">IF(O904="Yes",ROUND(L904*M904,2),0)</f>
        <v>0</v>
      </c>
      <c r="Q904" s="35" t="n">
        <f aca="false">IF(O904="No",ROUND(L904*M904/2,2),0)</f>
        <v>0</v>
      </c>
      <c r="R904" s="35" t="n">
        <f aca="false">Q904</f>
        <v>0</v>
      </c>
      <c r="S904" s="35" t="n">
        <f aca="false">L904+P904+Q904+R904</f>
        <v>0</v>
      </c>
      <c r="T904" s="34" t="str">
        <f aca="false">IF(A904="","",IFERROR(INDEX(Customers!$B$5:$B$204,MATCH(C904,Customers!$A$5:$A$204,0))&amp;"",""))</f>
        <v/>
      </c>
      <c r="U904" s="38" t="str">
        <f aca="false">IF(A904="","",IF(T904&lt;&gt;"","B2B",IF(AND(O904="Yes",SUMIF($A$5:$A$1004,A904,$L$5:$L$1004)+SUMIF($A$5:$A$1004,A904,$P$5:$P$1004)&gt;100000),"B2CL","B2CS")))</f>
        <v/>
      </c>
      <c r="V904" s="17" t="str">
        <f aca="false">IF(A904="","",TEXT(B904,"mmm-yyyy"))</f>
        <v/>
      </c>
    </row>
    <row r="905" customFormat="false" ht="15" hidden="false" customHeight="true" outlineLevel="0" collapsed="false">
      <c r="A905" s="24"/>
      <c r="B905" s="39"/>
      <c r="C905" s="24"/>
      <c r="D905" s="24"/>
      <c r="E905" s="40"/>
      <c r="F905" s="29"/>
      <c r="G905" s="30"/>
      <c r="H905" s="17" t="str">
        <f aca="false">IF(A905="","",A905&amp;"|"&amp;COUNTIF(A$5:A905,A905))</f>
        <v/>
      </c>
      <c r="I905" s="33" t="str">
        <f aca="false">IF(A905="","",IFERROR(INDEX(Items!$B$5:$B$304,MATCH(D905,Items!$A$5:$A$304,0))&amp;"",""))</f>
        <v/>
      </c>
      <c r="J905" s="34" t="str">
        <f aca="false">IF(A905="","",IFERROR(INDEX(Items!$C$5:$C$304,MATCH(D905,Items!$A$5:$A$304,0))&amp;"",""))</f>
        <v/>
      </c>
      <c r="K905" s="35" t="n">
        <f aca="false">IF(A905="",0,IF(ISNUMBER(F905),F905,IFERROR(INDEX(Items!$D$5:$D$304,MATCH(D905,Items!$A$5:$A$304,0)),0)))</f>
        <v>0</v>
      </c>
      <c r="L905" s="35" t="n">
        <f aca="false">ROUND(N(E905)*K905*(1-N(G905)),2)</f>
        <v>0</v>
      </c>
      <c r="M905" s="36" t="n">
        <f aca="false">IF(A905="",0,IFERROR(INDEX(Items!$E$5:$E$304,MATCH(D905,Items!$A$5:$A$304,0)),0))</f>
        <v>0</v>
      </c>
      <c r="N905" s="37" t="str">
        <f aca="false">IF(A905="","",IFERROR(INDEX(Customers!$E$5:$E$204,MATCH(C905,Customers!$A$5:$A$204,0)),"?"))</f>
        <v/>
      </c>
      <c r="O905" s="38" t="str">
        <f aca="false">IF(A905="","",IF(N905=Settings!$B$17,"No","Yes"))</f>
        <v/>
      </c>
      <c r="P905" s="35" t="n">
        <f aca="false">IF(O905="Yes",ROUND(L905*M905,2),0)</f>
        <v>0</v>
      </c>
      <c r="Q905" s="35" t="n">
        <f aca="false">IF(O905="No",ROUND(L905*M905/2,2),0)</f>
        <v>0</v>
      </c>
      <c r="R905" s="35" t="n">
        <f aca="false">Q905</f>
        <v>0</v>
      </c>
      <c r="S905" s="35" t="n">
        <f aca="false">L905+P905+Q905+R905</f>
        <v>0</v>
      </c>
      <c r="T905" s="34" t="str">
        <f aca="false">IF(A905="","",IFERROR(INDEX(Customers!$B$5:$B$204,MATCH(C905,Customers!$A$5:$A$204,0))&amp;"",""))</f>
        <v/>
      </c>
      <c r="U905" s="38" t="str">
        <f aca="false">IF(A905="","",IF(T905&lt;&gt;"","B2B",IF(AND(O905="Yes",SUMIF($A$5:$A$1004,A905,$L$5:$L$1004)+SUMIF($A$5:$A$1004,A905,$P$5:$P$1004)&gt;100000),"B2CL","B2CS")))</f>
        <v/>
      </c>
      <c r="V905" s="17" t="str">
        <f aca="false">IF(A905="","",TEXT(B905,"mmm-yyyy"))</f>
        <v/>
      </c>
    </row>
    <row r="906" customFormat="false" ht="15" hidden="false" customHeight="true" outlineLevel="0" collapsed="false">
      <c r="A906" s="24"/>
      <c r="B906" s="39"/>
      <c r="C906" s="24"/>
      <c r="D906" s="24"/>
      <c r="E906" s="40"/>
      <c r="F906" s="29"/>
      <c r="G906" s="30"/>
      <c r="H906" s="17" t="str">
        <f aca="false">IF(A906="","",A906&amp;"|"&amp;COUNTIF(A$5:A906,A906))</f>
        <v/>
      </c>
      <c r="I906" s="33" t="str">
        <f aca="false">IF(A906="","",IFERROR(INDEX(Items!$B$5:$B$304,MATCH(D906,Items!$A$5:$A$304,0))&amp;"",""))</f>
        <v/>
      </c>
      <c r="J906" s="34" t="str">
        <f aca="false">IF(A906="","",IFERROR(INDEX(Items!$C$5:$C$304,MATCH(D906,Items!$A$5:$A$304,0))&amp;"",""))</f>
        <v/>
      </c>
      <c r="K906" s="35" t="n">
        <f aca="false">IF(A906="",0,IF(ISNUMBER(F906),F906,IFERROR(INDEX(Items!$D$5:$D$304,MATCH(D906,Items!$A$5:$A$304,0)),0)))</f>
        <v>0</v>
      </c>
      <c r="L906" s="35" t="n">
        <f aca="false">ROUND(N(E906)*K906*(1-N(G906)),2)</f>
        <v>0</v>
      </c>
      <c r="M906" s="36" t="n">
        <f aca="false">IF(A906="",0,IFERROR(INDEX(Items!$E$5:$E$304,MATCH(D906,Items!$A$5:$A$304,0)),0))</f>
        <v>0</v>
      </c>
      <c r="N906" s="37" t="str">
        <f aca="false">IF(A906="","",IFERROR(INDEX(Customers!$E$5:$E$204,MATCH(C906,Customers!$A$5:$A$204,0)),"?"))</f>
        <v/>
      </c>
      <c r="O906" s="38" t="str">
        <f aca="false">IF(A906="","",IF(N906=Settings!$B$17,"No","Yes"))</f>
        <v/>
      </c>
      <c r="P906" s="35" t="n">
        <f aca="false">IF(O906="Yes",ROUND(L906*M906,2),0)</f>
        <v>0</v>
      </c>
      <c r="Q906" s="35" t="n">
        <f aca="false">IF(O906="No",ROUND(L906*M906/2,2),0)</f>
        <v>0</v>
      </c>
      <c r="R906" s="35" t="n">
        <f aca="false">Q906</f>
        <v>0</v>
      </c>
      <c r="S906" s="35" t="n">
        <f aca="false">L906+P906+Q906+R906</f>
        <v>0</v>
      </c>
      <c r="T906" s="34" t="str">
        <f aca="false">IF(A906="","",IFERROR(INDEX(Customers!$B$5:$B$204,MATCH(C906,Customers!$A$5:$A$204,0))&amp;"",""))</f>
        <v/>
      </c>
      <c r="U906" s="38" t="str">
        <f aca="false">IF(A906="","",IF(T906&lt;&gt;"","B2B",IF(AND(O906="Yes",SUMIF($A$5:$A$1004,A906,$L$5:$L$1004)+SUMIF($A$5:$A$1004,A906,$P$5:$P$1004)&gt;100000),"B2CL","B2CS")))</f>
        <v/>
      </c>
      <c r="V906" s="17" t="str">
        <f aca="false">IF(A906="","",TEXT(B906,"mmm-yyyy"))</f>
        <v/>
      </c>
    </row>
    <row r="907" customFormat="false" ht="15" hidden="false" customHeight="true" outlineLevel="0" collapsed="false">
      <c r="A907" s="24"/>
      <c r="B907" s="39"/>
      <c r="C907" s="24"/>
      <c r="D907" s="24"/>
      <c r="E907" s="40"/>
      <c r="F907" s="29"/>
      <c r="G907" s="30"/>
      <c r="H907" s="17" t="str">
        <f aca="false">IF(A907="","",A907&amp;"|"&amp;COUNTIF(A$5:A907,A907))</f>
        <v/>
      </c>
      <c r="I907" s="33" t="str">
        <f aca="false">IF(A907="","",IFERROR(INDEX(Items!$B$5:$B$304,MATCH(D907,Items!$A$5:$A$304,0))&amp;"",""))</f>
        <v/>
      </c>
      <c r="J907" s="34" t="str">
        <f aca="false">IF(A907="","",IFERROR(INDEX(Items!$C$5:$C$304,MATCH(D907,Items!$A$5:$A$304,0))&amp;"",""))</f>
        <v/>
      </c>
      <c r="K907" s="35" t="n">
        <f aca="false">IF(A907="",0,IF(ISNUMBER(F907),F907,IFERROR(INDEX(Items!$D$5:$D$304,MATCH(D907,Items!$A$5:$A$304,0)),0)))</f>
        <v>0</v>
      </c>
      <c r="L907" s="35" t="n">
        <f aca="false">ROUND(N(E907)*K907*(1-N(G907)),2)</f>
        <v>0</v>
      </c>
      <c r="M907" s="36" t="n">
        <f aca="false">IF(A907="",0,IFERROR(INDEX(Items!$E$5:$E$304,MATCH(D907,Items!$A$5:$A$304,0)),0))</f>
        <v>0</v>
      </c>
      <c r="N907" s="37" t="str">
        <f aca="false">IF(A907="","",IFERROR(INDEX(Customers!$E$5:$E$204,MATCH(C907,Customers!$A$5:$A$204,0)),"?"))</f>
        <v/>
      </c>
      <c r="O907" s="38" t="str">
        <f aca="false">IF(A907="","",IF(N907=Settings!$B$17,"No","Yes"))</f>
        <v/>
      </c>
      <c r="P907" s="35" t="n">
        <f aca="false">IF(O907="Yes",ROUND(L907*M907,2),0)</f>
        <v>0</v>
      </c>
      <c r="Q907" s="35" t="n">
        <f aca="false">IF(O907="No",ROUND(L907*M907/2,2),0)</f>
        <v>0</v>
      </c>
      <c r="R907" s="35" t="n">
        <f aca="false">Q907</f>
        <v>0</v>
      </c>
      <c r="S907" s="35" t="n">
        <f aca="false">L907+P907+Q907+R907</f>
        <v>0</v>
      </c>
      <c r="T907" s="34" t="str">
        <f aca="false">IF(A907="","",IFERROR(INDEX(Customers!$B$5:$B$204,MATCH(C907,Customers!$A$5:$A$204,0))&amp;"",""))</f>
        <v/>
      </c>
      <c r="U907" s="38" t="str">
        <f aca="false">IF(A907="","",IF(T907&lt;&gt;"","B2B",IF(AND(O907="Yes",SUMIF($A$5:$A$1004,A907,$L$5:$L$1004)+SUMIF($A$5:$A$1004,A907,$P$5:$P$1004)&gt;100000),"B2CL","B2CS")))</f>
        <v/>
      </c>
      <c r="V907" s="17" t="str">
        <f aca="false">IF(A907="","",TEXT(B907,"mmm-yyyy"))</f>
        <v/>
      </c>
    </row>
    <row r="908" customFormat="false" ht="15" hidden="false" customHeight="true" outlineLevel="0" collapsed="false">
      <c r="A908" s="24"/>
      <c r="B908" s="39"/>
      <c r="C908" s="24"/>
      <c r="D908" s="24"/>
      <c r="E908" s="40"/>
      <c r="F908" s="29"/>
      <c r="G908" s="30"/>
      <c r="H908" s="17" t="str">
        <f aca="false">IF(A908="","",A908&amp;"|"&amp;COUNTIF(A$5:A908,A908))</f>
        <v/>
      </c>
      <c r="I908" s="33" t="str">
        <f aca="false">IF(A908="","",IFERROR(INDEX(Items!$B$5:$B$304,MATCH(D908,Items!$A$5:$A$304,0))&amp;"",""))</f>
        <v/>
      </c>
      <c r="J908" s="34" t="str">
        <f aca="false">IF(A908="","",IFERROR(INDEX(Items!$C$5:$C$304,MATCH(D908,Items!$A$5:$A$304,0))&amp;"",""))</f>
        <v/>
      </c>
      <c r="K908" s="35" t="n">
        <f aca="false">IF(A908="",0,IF(ISNUMBER(F908),F908,IFERROR(INDEX(Items!$D$5:$D$304,MATCH(D908,Items!$A$5:$A$304,0)),0)))</f>
        <v>0</v>
      </c>
      <c r="L908" s="35" t="n">
        <f aca="false">ROUND(N(E908)*K908*(1-N(G908)),2)</f>
        <v>0</v>
      </c>
      <c r="M908" s="36" t="n">
        <f aca="false">IF(A908="",0,IFERROR(INDEX(Items!$E$5:$E$304,MATCH(D908,Items!$A$5:$A$304,0)),0))</f>
        <v>0</v>
      </c>
      <c r="N908" s="37" t="str">
        <f aca="false">IF(A908="","",IFERROR(INDEX(Customers!$E$5:$E$204,MATCH(C908,Customers!$A$5:$A$204,0)),"?"))</f>
        <v/>
      </c>
      <c r="O908" s="38" t="str">
        <f aca="false">IF(A908="","",IF(N908=Settings!$B$17,"No","Yes"))</f>
        <v/>
      </c>
      <c r="P908" s="35" t="n">
        <f aca="false">IF(O908="Yes",ROUND(L908*M908,2),0)</f>
        <v>0</v>
      </c>
      <c r="Q908" s="35" t="n">
        <f aca="false">IF(O908="No",ROUND(L908*M908/2,2),0)</f>
        <v>0</v>
      </c>
      <c r="R908" s="35" t="n">
        <f aca="false">Q908</f>
        <v>0</v>
      </c>
      <c r="S908" s="35" t="n">
        <f aca="false">L908+P908+Q908+R908</f>
        <v>0</v>
      </c>
      <c r="T908" s="34" t="str">
        <f aca="false">IF(A908="","",IFERROR(INDEX(Customers!$B$5:$B$204,MATCH(C908,Customers!$A$5:$A$204,0))&amp;"",""))</f>
        <v/>
      </c>
      <c r="U908" s="38" t="str">
        <f aca="false">IF(A908="","",IF(T908&lt;&gt;"","B2B",IF(AND(O908="Yes",SUMIF($A$5:$A$1004,A908,$L$5:$L$1004)+SUMIF($A$5:$A$1004,A908,$P$5:$P$1004)&gt;100000),"B2CL","B2CS")))</f>
        <v/>
      </c>
      <c r="V908" s="17" t="str">
        <f aca="false">IF(A908="","",TEXT(B908,"mmm-yyyy"))</f>
        <v/>
      </c>
    </row>
    <row r="909" customFormat="false" ht="15" hidden="false" customHeight="true" outlineLevel="0" collapsed="false">
      <c r="A909" s="24"/>
      <c r="B909" s="39"/>
      <c r="C909" s="24"/>
      <c r="D909" s="24"/>
      <c r="E909" s="40"/>
      <c r="F909" s="29"/>
      <c r="G909" s="30"/>
      <c r="H909" s="17" t="str">
        <f aca="false">IF(A909="","",A909&amp;"|"&amp;COUNTIF(A$5:A909,A909))</f>
        <v/>
      </c>
      <c r="I909" s="33" t="str">
        <f aca="false">IF(A909="","",IFERROR(INDEX(Items!$B$5:$B$304,MATCH(D909,Items!$A$5:$A$304,0))&amp;"",""))</f>
        <v/>
      </c>
      <c r="J909" s="34" t="str">
        <f aca="false">IF(A909="","",IFERROR(INDEX(Items!$C$5:$C$304,MATCH(D909,Items!$A$5:$A$304,0))&amp;"",""))</f>
        <v/>
      </c>
      <c r="K909" s="35" t="n">
        <f aca="false">IF(A909="",0,IF(ISNUMBER(F909),F909,IFERROR(INDEX(Items!$D$5:$D$304,MATCH(D909,Items!$A$5:$A$304,0)),0)))</f>
        <v>0</v>
      </c>
      <c r="L909" s="35" t="n">
        <f aca="false">ROUND(N(E909)*K909*(1-N(G909)),2)</f>
        <v>0</v>
      </c>
      <c r="M909" s="36" t="n">
        <f aca="false">IF(A909="",0,IFERROR(INDEX(Items!$E$5:$E$304,MATCH(D909,Items!$A$5:$A$304,0)),0))</f>
        <v>0</v>
      </c>
      <c r="N909" s="37" t="str">
        <f aca="false">IF(A909="","",IFERROR(INDEX(Customers!$E$5:$E$204,MATCH(C909,Customers!$A$5:$A$204,0)),"?"))</f>
        <v/>
      </c>
      <c r="O909" s="38" t="str">
        <f aca="false">IF(A909="","",IF(N909=Settings!$B$17,"No","Yes"))</f>
        <v/>
      </c>
      <c r="P909" s="35" t="n">
        <f aca="false">IF(O909="Yes",ROUND(L909*M909,2),0)</f>
        <v>0</v>
      </c>
      <c r="Q909" s="35" t="n">
        <f aca="false">IF(O909="No",ROUND(L909*M909/2,2),0)</f>
        <v>0</v>
      </c>
      <c r="R909" s="35" t="n">
        <f aca="false">Q909</f>
        <v>0</v>
      </c>
      <c r="S909" s="35" t="n">
        <f aca="false">L909+P909+Q909+R909</f>
        <v>0</v>
      </c>
      <c r="T909" s="34" t="str">
        <f aca="false">IF(A909="","",IFERROR(INDEX(Customers!$B$5:$B$204,MATCH(C909,Customers!$A$5:$A$204,0))&amp;"",""))</f>
        <v/>
      </c>
      <c r="U909" s="38" t="str">
        <f aca="false">IF(A909="","",IF(T909&lt;&gt;"","B2B",IF(AND(O909="Yes",SUMIF($A$5:$A$1004,A909,$L$5:$L$1004)+SUMIF($A$5:$A$1004,A909,$P$5:$P$1004)&gt;100000),"B2CL","B2CS")))</f>
        <v/>
      </c>
      <c r="V909" s="17" t="str">
        <f aca="false">IF(A909="","",TEXT(B909,"mmm-yyyy"))</f>
        <v/>
      </c>
    </row>
    <row r="910" customFormat="false" ht="15" hidden="false" customHeight="true" outlineLevel="0" collapsed="false">
      <c r="A910" s="24"/>
      <c r="B910" s="39"/>
      <c r="C910" s="24"/>
      <c r="D910" s="24"/>
      <c r="E910" s="40"/>
      <c r="F910" s="29"/>
      <c r="G910" s="30"/>
      <c r="H910" s="17" t="str">
        <f aca="false">IF(A910="","",A910&amp;"|"&amp;COUNTIF(A$5:A910,A910))</f>
        <v/>
      </c>
      <c r="I910" s="33" t="str">
        <f aca="false">IF(A910="","",IFERROR(INDEX(Items!$B$5:$B$304,MATCH(D910,Items!$A$5:$A$304,0))&amp;"",""))</f>
        <v/>
      </c>
      <c r="J910" s="34" t="str">
        <f aca="false">IF(A910="","",IFERROR(INDEX(Items!$C$5:$C$304,MATCH(D910,Items!$A$5:$A$304,0))&amp;"",""))</f>
        <v/>
      </c>
      <c r="K910" s="35" t="n">
        <f aca="false">IF(A910="",0,IF(ISNUMBER(F910),F910,IFERROR(INDEX(Items!$D$5:$D$304,MATCH(D910,Items!$A$5:$A$304,0)),0)))</f>
        <v>0</v>
      </c>
      <c r="L910" s="35" t="n">
        <f aca="false">ROUND(N(E910)*K910*(1-N(G910)),2)</f>
        <v>0</v>
      </c>
      <c r="M910" s="36" t="n">
        <f aca="false">IF(A910="",0,IFERROR(INDEX(Items!$E$5:$E$304,MATCH(D910,Items!$A$5:$A$304,0)),0))</f>
        <v>0</v>
      </c>
      <c r="N910" s="37" t="str">
        <f aca="false">IF(A910="","",IFERROR(INDEX(Customers!$E$5:$E$204,MATCH(C910,Customers!$A$5:$A$204,0)),"?"))</f>
        <v/>
      </c>
      <c r="O910" s="38" t="str">
        <f aca="false">IF(A910="","",IF(N910=Settings!$B$17,"No","Yes"))</f>
        <v/>
      </c>
      <c r="P910" s="35" t="n">
        <f aca="false">IF(O910="Yes",ROUND(L910*M910,2),0)</f>
        <v>0</v>
      </c>
      <c r="Q910" s="35" t="n">
        <f aca="false">IF(O910="No",ROUND(L910*M910/2,2),0)</f>
        <v>0</v>
      </c>
      <c r="R910" s="35" t="n">
        <f aca="false">Q910</f>
        <v>0</v>
      </c>
      <c r="S910" s="35" t="n">
        <f aca="false">L910+P910+Q910+R910</f>
        <v>0</v>
      </c>
      <c r="T910" s="34" t="str">
        <f aca="false">IF(A910="","",IFERROR(INDEX(Customers!$B$5:$B$204,MATCH(C910,Customers!$A$5:$A$204,0))&amp;"",""))</f>
        <v/>
      </c>
      <c r="U910" s="38" t="str">
        <f aca="false">IF(A910="","",IF(T910&lt;&gt;"","B2B",IF(AND(O910="Yes",SUMIF($A$5:$A$1004,A910,$L$5:$L$1004)+SUMIF($A$5:$A$1004,A910,$P$5:$P$1004)&gt;100000),"B2CL","B2CS")))</f>
        <v/>
      </c>
      <c r="V910" s="17" t="str">
        <f aca="false">IF(A910="","",TEXT(B910,"mmm-yyyy"))</f>
        <v/>
      </c>
    </row>
    <row r="911" customFormat="false" ht="15" hidden="false" customHeight="true" outlineLevel="0" collapsed="false">
      <c r="A911" s="24"/>
      <c r="B911" s="39"/>
      <c r="C911" s="24"/>
      <c r="D911" s="24"/>
      <c r="E911" s="40"/>
      <c r="F911" s="29"/>
      <c r="G911" s="30"/>
      <c r="H911" s="17" t="str">
        <f aca="false">IF(A911="","",A911&amp;"|"&amp;COUNTIF(A$5:A911,A911))</f>
        <v/>
      </c>
      <c r="I911" s="33" t="str">
        <f aca="false">IF(A911="","",IFERROR(INDEX(Items!$B$5:$B$304,MATCH(D911,Items!$A$5:$A$304,0))&amp;"",""))</f>
        <v/>
      </c>
      <c r="J911" s="34" t="str">
        <f aca="false">IF(A911="","",IFERROR(INDEX(Items!$C$5:$C$304,MATCH(D911,Items!$A$5:$A$304,0))&amp;"",""))</f>
        <v/>
      </c>
      <c r="K911" s="35" t="n">
        <f aca="false">IF(A911="",0,IF(ISNUMBER(F911),F911,IFERROR(INDEX(Items!$D$5:$D$304,MATCH(D911,Items!$A$5:$A$304,0)),0)))</f>
        <v>0</v>
      </c>
      <c r="L911" s="35" t="n">
        <f aca="false">ROUND(N(E911)*K911*(1-N(G911)),2)</f>
        <v>0</v>
      </c>
      <c r="M911" s="36" t="n">
        <f aca="false">IF(A911="",0,IFERROR(INDEX(Items!$E$5:$E$304,MATCH(D911,Items!$A$5:$A$304,0)),0))</f>
        <v>0</v>
      </c>
      <c r="N911" s="37" t="str">
        <f aca="false">IF(A911="","",IFERROR(INDEX(Customers!$E$5:$E$204,MATCH(C911,Customers!$A$5:$A$204,0)),"?"))</f>
        <v/>
      </c>
      <c r="O911" s="38" t="str">
        <f aca="false">IF(A911="","",IF(N911=Settings!$B$17,"No","Yes"))</f>
        <v/>
      </c>
      <c r="P911" s="35" t="n">
        <f aca="false">IF(O911="Yes",ROUND(L911*M911,2),0)</f>
        <v>0</v>
      </c>
      <c r="Q911" s="35" t="n">
        <f aca="false">IF(O911="No",ROUND(L911*M911/2,2),0)</f>
        <v>0</v>
      </c>
      <c r="R911" s="35" t="n">
        <f aca="false">Q911</f>
        <v>0</v>
      </c>
      <c r="S911" s="35" t="n">
        <f aca="false">L911+P911+Q911+R911</f>
        <v>0</v>
      </c>
      <c r="T911" s="34" t="str">
        <f aca="false">IF(A911="","",IFERROR(INDEX(Customers!$B$5:$B$204,MATCH(C911,Customers!$A$5:$A$204,0))&amp;"",""))</f>
        <v/>
      </c>
      <c r="U911" s="38" t="str">
        <f aca="false">IF(A911="","",IF(T911&lt;&gt;"","B2B",IF(AND(O911="Yes",SUMIF($A$5:$A$1004,A911,$L$5:$L$1004)+SUMIF($A$5:$A$1004,A911,$P$5:$P$1004)&gt;100000),"B2CL","B2CS")))</f>
        <v/>
      </c>
      <c r="V911" s="17" t="str">
        <f aca="false">IF(A911="","",TEXT(B911,"mmm-yyyy"))</f>
        <v/>
      </c>
    </row>
    <row r="912" customFormat="false" ht="15" hidden="false" customHeight="true" outlineLevel="0" collapsed="false">
      <c r="A912" s="24"/>
      <c r="B912" s="39"/>
      <c r="C912" s="24"/>
      <c r="D912" s="24"/>
      <c r="E912" s="40"/>
      <c r="F912" s="29"/>
      <c r="G912" s="30"/>
      <c r="H912" s="17" t="str">
        <f aca="false">IF(A912="","",A912&amp;"|"&amp;COUNTIF(A$5:A912,A912))</f>
        <v/>
      </c>
      <c r="I912" s="33" t="str">
        <f aca="false">IF(A912="","",IFERROR(INDEX(Items!$B$5:$B$304,MATCH(D912,Items!$A$5:$A$304,0))&amp;"",""))</f>
        <v/>
      </c>
      <c r="J912" s="34" t="str">
        <f aca="false">IF(A912="","",IFERROR(INDEX(Items!$C$5:$C$304,MATCH(D912,Items!$A$5:$A$304,0))&amp;"",""))</f>
        <v/>
      </c>
      <c r="K912" s="35" t="n">
        <f aca="false">IF(A912="",0,IF(ISNUMBER(F912),F912,IFERROR(INDEX(Items!$D$5:$D$304,MATCH(D912,Items!$A$5:$A$304,0)),0)))</f>
        <v>0</v>
      </c>
      <c r="L912" s="35" t="n">
        <f aca="false">ROUND(N(E912)*K912*(1-N(G912)),2)</f>
        <v>0</v>
      </c>
      <c r="M912" s="36" t="n">
        <f aca="false">IF(A912="",0,IFERROR(INDEX(Items!$E$5:$E$304,MATCH(D912,Items!$A$5:$A$304,0)),0))</f>
        <v>0</v>
      </c>
      <c r="N912" s="37" t="str">
        <f aca="false">IF(A912="","",IFERROR(INDEX(Customers!$E$5:$E$204,MATCH(C912,Customers!$A$5:$A$204,0)),"?"))</f>
        <v/>
      </c>
      <c r="O912" s="38" t="str">
        <f aca="false">IF(A912="","",IF(N912=Settings!$B$17,"No","Yes"))</f>
        <v/>
      </c>
      <c r="P912" s="35" t="n">
        <f aca="false">IF(O912="Yes",ROUND(L912*M912,2),0)</f>
        <v>0</v>
      </c>
      <c r="Q912" s="35" t="n">
        <f aca="false">IF(O912="No",ROUND(L912*M912/2,2),0)</f>
        <v>0</v>
      </c>
      <c r="R912" s="35" t="n">
        <f aca="false">Q912</f>
        <v>0</v>
      </c>
      <c r="S912" s="35" t="n">
        <f aca="false">L912+P912+Q912+R912</f>
        <v>0</v>
      </c>
      <c r="T912" s="34" t="str">
        <f aca="false">IF(A912="","",IFERROR(INDEX(Customers!$B$5:$B$204,MATCH(C912,Customers!$A$5:$A$204,0))&amp;"",""))</f>
        <v/>
      </c>
      <c r="U912" s="38" t="str">
        <f aca="false">IF(A912="","",IF(T912&lt;&gt;"","B2B",IF(AND(O912="Yes",SUMIF($A$5:$A$1004,A912,$L$5:$L$1004)+SUMIF($A$5:$A$1004,A912,$P$5:$P$1004)&gt;100000),"B2CL","B2CS")))</f>
        <v/>
      </c>
      <c r="V912" s="17" t="str">
        <f aca="false">IF(A912="","",TEXT(B912,"mmm-yyyy"))</f>
        <v/>
      </c>
    </row>
    <row r="913" customFormat="false" ht="15" hidden="false" customHeight="true" outlineLevel="0" collapsed="false">
      <c r="A913" s="24"/>
      <c r="B913" s="39"/>
      <c r="C913" s="24"/>
      <c r="D913" s="24"/>
      <c r="E913" s="40"/>
      <c r="F913" s="29"/>
      <c r="G913" s="30"/>
      <c r="H913" s="17" t="str">
        <f aca="false">IF(A913="","",A913&amp;"|"&amp;COUNTIF(A$5:A913,A913))</f>
        <v/>
      </c>
      <c r="I913" s="33" t="str">
        <f aca="false">IF(A913="","",IFERROR(INDEX(Items!$B$5:$B$304,MATCH(D913,Items!$A$5:$A$304,0))&amp;"",""))</f>
        <v/>
      </c>
      <c r="J913" s="34" t="str">
        <f aca="false">IF(A913="","",IFERROR(INDEX(Items!$C$5:$C$304,MATCH(D913,Items!$A$5:$A$304,0))&amp;"",""))</f>
        <v/>
      </c>
      <c r="K913" s="35" t="n">
        <f aca="false">IF(A913="",0,IF(ISNUMBER(F913),F913,IFERROR(INDEX(Items!$D$5:$D$304,MATCH(D913,Items!$A$5:$A$304,0)),0)))</f>
        <v>0</v>
      </c>
      <c r="L913" s="35" t="n">
        <f aca="false">ROUND(N(E913)*K913*(1-N(G913)),2)</f>
        <v>0</v>
      </c>
      <c r="M913" s="36" t="n">
        <f aca="false">IF(A913="",0,IFERROR(INDEX(Items!$E$5:$E$304,MATCH(D913,Items!$A$5:$A$304,0)),0))</f>
        <v>0</v>
      </c>
      <c r="N913" s="37" t="str">
        <f aca="false">IF(A913="","",IFERROR(INDEX(Customers!$E$5:$E$204,MATCH(C913,Customers!$A$5:$A$204,0)),"?"))</f>
        <v/>
      </c>
      <c r="O913" s="38" t="str">
        <f aca="false">IF(A913="","",IF(N913=Settings!$B$17,"No","Yes"))</f>
        <v/>
      </c>
      <c r="P913" s="35" t="n">
        <f aca="false">IF(O913="Yes",ROUND(L913*M913,2),0)</f>
        <v>0</v>
      </c>
      <c r="Q913" s="35" t="n">
        <f aca="false">IF(O913="No",ROUND(L913*M913/2,2),0)</f>
        <v>0</v>
      </c>
      <c r="R913" s="35" t="n">
        <f aca="false">Q913</f>
        <v>0</v>
      </c>
      <c r="S913" s="35" t="n">
        <f aca="false">L913+P913+Q913+R913</f>
        <v>0</v>
      </c>
      <c r="T913" s="34" t="str">
        <f aca="false">IF(A913="","",IFERROR(INDEX(Customers!$B$5:$B$204,MATCH(C913,Customers!$A$5:$A$204,0))&amp;"",""))</f>
        <v/>
      </c>
      <c r="U913" s="38" t="str">
        <f aca="false">IF(A913="","",IF(T913&lt;&gt;"","B2B",IF(AND(O913="Yes",SUMIF($A$5:$A$1004,A913,$L$5:$L$1004)+SUMIF($A$5:$A$1004,A913,$P$5:$P$1004)&gt;100000),"B2CL","B2CS")))</f>
        <v/>
      </c>
      <c r="V913" s="17" t="str">
        <f aca="false">IF(A913="","",TEXT(B913,"mmm-yyyy"))</f>
        <v/>
      </c>
    </row>
    <row r="914" customFormat="false" ht="15" hidden="false" customHeight="true" outlineLevel="0" collapsed="false">
      <c r="A914" s="24"/>
      <c r="B914" s="39"/>
      <c r="C914" s="24"/>
      <c r="D914" s="24"/>
      <c r="E914" s="40"/>
      <c r="F914" s="29"/>
      <c r="G914" s="30"/>
      <c r="H914" s="17" t="str">
        <f aca="false">IF(A914="","",A914&amp;"|"&amp;COUNTIF(A$5:A914,A914))</f>
        <v/>
      </c>
      <c r="I914" s="33" t="str">
        <f aca="false">IF(A914="","",IFERROR(INDEX(Items!$B$5:$B$304,MATCH(D914,Items!$A$5:$A$304,0))&amp;"",""))</f>
        <v/>
      </c>
      <c r="J914" s="34" t="str">
        <f aca="false">IF(A914="","",IFERROR(INDEX(Items!$C$5:$C$304,MATCH(D914,Items!$A$5:$A$304,0))&amp;"",""))</f>
        <v/>
      </c>
      <c r="K914" s="35" t="n">
        <f aca="false">IF(A914="",0,IF(ISNUMBER(F914),F914,IFERROR(INDEX(Items!$D$5:$D$304,MATCH(D914,Items!$A$5:$A$304,0)),0)))</f>
        <v>0</v>
      </c>
      <c r="L914" s="35" t="n">
        <f aca="false">ROUND(N(E914)*K914*(1-N(G914)),2)</f>
        <v>0</v>
      </c>
      <c r="M914" s="36" t="n">
        <f aca="false">IF(A914="",0,IFERROR(INDEX(Items!$E$5:$E$304,MATCH(D914,Items!$A$5:$A$304,0)),0))</f>
        <v>0</v>
      </c>
      <c r="N914" s="37" t="str">
        <f aca="false">IF(A914="","",IFERROR(INDEX(Customers!$E$5:$E$204,MATCH(C914,Customers!$A$5:$A$204,0)),"?"))</f>
        <v/>
      </c>
      <c r="O914" s="38" t="str">
        <f aca="false">IF(A914="","",IF(N914=Settings!$B$17,"No","Yes"))</f>
        <v/>
      </c>
      <c r="P914" s="35" t="n">
        <f aca="false">IF(O914="Yes",ROUND(L914*M914,2),0)</f>
        <v>0</v>
      </c>
      <c r="Q914" s="35" t="n">
        <f aca="false">IF(O914="No",ROUND(L914*M914/2,2),0)</f>
        <v>0</v>
      </c>
      <c r="R914" s="35" t="n">
        <f aca="false">Q914</f>
        <v>0</v>
      </c>
      <c r="S914" s="35" t="n">
        <f aca="false">L914+P914+Q914+R914</f>
        <v>0</v>
      </c>
      <c r="T914" s="34" t="str">
        <f aca="false">IF(A914="","",IFERROR(INDEX(Customers!$B$5:$B$204,MATCH(C914,Customers!$A$5:$A$204,0))&amp;"",""))</f>
        <v/>
      </c>
      <c r="U914" s="38" t="str">
        <f aca="false">IF(A914="","",IF(T914&lt;&gt;"","B2B",IF(AND(O914="Yes",SUMIF($A$5:$A$1004,A914,$L$5:$L$1004)+SUMIF($A$5:$A$1004,A914,$P$5:$P$1004)&gt;100000),"B2CL","B2CS")))</f>
        <v/>
      </c>
      <c r="V914" s="17" t="str">
        <f aca="false">IF(A914="","",TEXT(B914,"mmm-yyyy"))</f>
        <v/>
      </c>
    </row>
    <row r="915" customFormat="false" ht="15" hidden="false" customHeight="true" outlineLevel="0" collapsed="false">
      <c r="A915" s="24"/>
      <c r="B915" s="39"/>
      <c r="C915" s="24"/>
      <c r="D915" s="24"/>
      <c r="E915" s="40"/>
      <c r="F915" s="29"/>
      <c r="G915" s="30"/>
      <c r="H915" s="17" t="str">
        <f aca="false">IF(A915="","",A915&amp;"|"&amp;COUNTIF(A$5:A915,A915))</f>
        <v/>
      </c>
      <c r="I915" s="33" t="str">
        <f aca="false">IF(A915="","",IFERROR(INDEX(Items!$B$5:$B$304,MATCH(D915,Items!$A$5:$A$304,0))&amp;"",""))</f>
        <v/>
      </c>
      <c r="J915" s="34" t="str">
        <f aca="false">IF(A915="","",IFERROR(INDEX(Items!$C$5:$C$304,MATCH(D915,Items!$A$5:$A$304,0))&amp;"",""))</f>
        <v/>
      </c>
      <c r="K915" s="35" t="n">
        <f aca="false">IF(A915="",0,IF(ISNUMBER(F915),F915,IFERROR(INDEX(Items!$D$5:$D$304,MATCH(D915,Items!$A$5:$A$304,0)),0)))</f>
        <v>0</v>
      </c>
      <c r="L915" s="35" t="n">
        <f aca="false">ROUND(N(E915)*K915*(1-N(G915)),2)</f>
        <v>0</v>
      </c>
      <c r="M915" s="36" t="n">
        <f aca="false">IF(A915="",0,IFERROR(INDEX(Items!$E$5:$E$304,MATCH(D915,Items!$A$5:$A$304,0)),0))</f>
        <v>0</v>
      </c>
      <c r="N915" s="37" t="str">
        <f aca="false">IF(A915="","",IFERROR(INDEX(Customers!$E$5:$E$204,MATCH(C915,Customers!$A$5:$A$204,0)),"?"))</f>
        <v/>
      </c>
      <c r="O915" s="38" t="str">
        <f aca="false">IF(A915="","",IF(N915=Settings!$B$17,"No","Yes"))</f>
        <v/>
      </c>
      <c r="P915" s="35" t="n">
        <f aca="false">IF(O915="Yes",ROUND(L915*M915,2),0)</f>
        <v>0</v>
      </c>
      <c r="Q915" s="35" t="n">
        <f aca="false">IF(O915="No",ROUND(L915*M915/2,2),0)</f>
        <v>0</v>
      </c>
      <c r="R915" s="35" t="n">
        <f aca="false">Q915</f>
        <v>0</v>
      </c>
      <c r="S915" s="35" t="n">
        <f aca="false">L915+P915+Q915+R915</f>
        <v>0</v>
      </c>
      <c r="T915" s="34" t="str">
        <f aca="false">IF(A915="","",IFERROR(INDEX(Customers!$B$5:$B$204,MATCH(C915,Customers!$A$5:$A$204,0))&amp;"",""))</f>
        <v/>
      </c>
      <c r="U915" s="38" t="str">
        <f aca="false">IF(A915="","",IF(T915&lt;&gt;"","B2B",IF(AND(O915="Yes",SUMIF($A$5:$A$1004,A915,$L$5:$L$1004)+SUMIF($A$5:$A$1004,A915,$P$5:$P$1004)&gt;100000),"B2CL","B2CS")))</f>
        <v/>
      </c>
      <c r="V915" s="17" t="str">
        <f aca="false">IF(A915="","",TEXT(B915,"mmm-yyyy"))</f>
        <v/>
      </c>
    </row>
    <row r="916" customFormat="false" ht="15" hidden="false" customHeight="true" outlineLevel="0" collapsed="false">
      <c r="A916" s="24"/>
      <c r="B916" s="39"/>
      <c r="C916" s="24"/>
      <c r="D916" s="24"/>
      <c r="E916" s="40"/>
      <c r="F916" s="29"/>
      <c r="G916" s="30"/>
      <c r="H916" s="17" t="str">
        <f aca="false">IF(A916="","",A916&amp;"|"&amp;COUNTIF(A$5:A916,A916))</f>
        <v/>
      </c>
      <c r="I916" s="33" t="str">
        <f aca="false">IF(A916="","",IFERROR(INDEX(Items!$B$5:$B$304,MATCH(D916,Items!$A$5:$A$304,0))&amp;"",""))</f>
        <v/>
      </c>
      <c r="J916" s="34" t="str">
        <f aca="false">IF(A916="","",IFERROR(INDEX(Items!$C$5:$C$304,MATCH(D916,Items!$A$5:$A$304,0))&amp;"",""))</f>
        <v/>
      </c>
      <c r="K916" s="35" t="n">
        <f aca="false">IF(A916="",0,IF(ISNUMBER(F916),F916,IFERROR(INDEX(Items!$D$5:$D$304,MATCH(D916,Items!$A$5:$A$304,0)),0)))</f>
        <v>0</v>
      </c>
      <c r="L916" s="35" t="n">
        <f aca="false">ROUND(N(E916)*K916*(1-N(G916)),2)</f>
        <v>0</v>
      </c>
      <c r="M916" s="36" t="n">
        <f aca="false">IF(A916="",0,IFERROR(INDEX(Items!$E$5:$E$304,MATCH(D916,Items!$A$5:$A$304,0)),0))</f>
        <v>0</v>
      </c>
      <c r="N916" s="37" t="str">
        <f aca="false">IF(A916="","",IFERROR(INDEX(Customers!$E$5:$E$204,MATCH(C916,Customers!$A$5:$A$204,0)),"?"))</f>
        <v/>
      </c>
      <c r="O916" s="38" t="str">
        <f aca="false">IF(A916="","",IF(N916=Settings!$B$17,"No","Yes"))</f>
        <v/>
      </c>
      <c r="P916" s="35" t="n">
        <f aca="false">IF(O916="Yes",ROUND(L916*M916,2),0)</f>
        <v>0</v>
      </c>
      <c r="Q916" s="35" t="n">
        <f aca="false">IF(O916="No",ROUND(L916*M916/2,2),0)</f>
        <v>0</v>
      </c>
      <c r="R916" s="35" t="n">
        <f aca="false">Q916</f>
        <v>0</v>
      </c>
      <c r="S916" s="35" t="n">
        <f aca="false">L916+P916+Q916+R916</f>
        <v>0</v>
      </c>
      <c r="T916" s="34" t="str">
        <f aca="false">IF(A916="","",IFERROR(INDEX(Customers!$B$5:$B$204,MATCH(C916,Customers!$A$5:$A$204,0))&amp;"",""))</f>
        <v/>
      </c>
      <c r="U916" s="38" t="str">
        <f aca="false">IF(A916="","",IF(T916&lt;&gt;"","B2B",IF(AND(O916="Yes",SUMIF($A$5:$A$1004,A916,$L$5:$L$1004)+SUMIF($A$5:$A$1004,A916,$P$5:$P$1004)&gt;100000),"B2CL","B2CS")))</f>
        <v/>
      </c>
      <c r="V916" s="17" t="str">
        <f aca="false">IF(A916="","",TEXT(B916,"mmm-yyyy"))</f>
        <v/>
      </c>
    </row>
    <row r="917" customFormat="false" ht="15" hidden="false" customHeight="true" outlineLevel="0" collapsed="false">
      <c r="A917" s="24"/>
      <c r="B917" s="39"/>
      <c r="C917" s="24"/>
      <c r="D917" s="24"/>
      <c r="E917" s="40"/>
      <c r="F917" s="29"/>
      <c r="G917" s="30"/>
      <c r="H917" s="17" t="str">
        <f aca="false">IF(A917="","",A917&amp;"|"&amp;COUNTIF(A$5:A917,A917))</f>
        <v/>
      </c>
      <c r="I917" s="33" t="str">
        <f aca="false">IF(A917="","",IFERROR(INDEX(Items!$B$5:$B$304,MATCH(D917,Items!$A$5:$A$304,0))&amp;"",""))</f>
        <v/>
      </c>
      <c r="J917" s="34" t="str">
        <f aca="false">IF(A917="","",IFERROR(INDEX(Items!$C$5:$C$304,MATCH(D917,Items!$A$5:$A$304,0))&amp;"",""))</f>
        <v/>
      </c>
      <c r="K917" s="35" t="n">
        <f aca="false">IF(A917="",0,IF(ISNUMBER(F917),F917,IFERROR(INDEX(Items!$D$5:$D$304,MATCH(D917,Items!$A$5:$A$304,0)),0)))</f>
        <v>0</v>
      </c>
      <c r="L917" s="35" t="n">
        <f aca="false">ROUND(N(E917)*K917*(1-N(G917)),2)</f>
        <v>0</v>
      </c>
      <c r="M917" s="36" t="n">
        <f aca="false">IF(A917="",0,IFERROR(INDEX(Items!$E$5:$E$304,MATCH(D917,Items!$A$5:$A$304,0)),0))</f>
        <v>0</v>
      </c>
      <c r="N917" s="37" t="str">
        <f aca="false">IF(A917="","",IFERROR(INDEX(Customers!$E$5:$E$204,MATCH(C917,Customers!$A$5:$A$204,0)),"?"))</f>
        <v/>
      </c>
      <c r="O917" s="38" t="str">
        <f aca="false">IF(A917="","",IF(N917=Settings!$B$17,"No","Yes"))</f>
        <v/>
      </c>
      <c r="P917" s="35" t="n">
        <f aca="false">IF(O917="Yes",ROUND(L917*M917,2),0)</f>
        <v>0</v>
      </c>
      <c r="Q917" s="35" t="n">
        <f aca="false">IF(O917="No",ROUND(L917*M917/2,2),0)</f>
        <v>0</v>
      </c>
      <c r="R917" s="35" t="n">
        <f aca="false">Q917</f>
        <v>0</v>
      </c>
      <c r="S917" s="35" t="n">
        <f aca="false">L917+P917+Q917+R917</f>
        <v>0</v>
      </c>
      <c r="T917" s="34" t="str">
        <f aca="false">IF(A917="","",IFERROR(INDEX(Customers!$B$5:$B$204,MATCH(C917,Customers!$A$5:$A$204,0))&amp;"",""))</f>
        <v/>
      </c>
      <c r="U917" s="38" t="str">
        <f aca="false">IF(A917="","",IF(T917&lt;&gt;"","B2B",IF(AND(O917="Yes",SUMIF($A$5:$A$1004,A917,$L$5:$L$1004)+SUMIF($A$5:$A$1004,A917,$P$5:$P$1004)&gt;100000),"B2CL","B2CS")))</f>
        <v/>
      </c>
      <c r="V917" s="17" t="str">
        <f aca="false">IF(A917="","",TEXT(B917,"mmm-yyyy"))</f>
        <v/>
      </c>
    </row>
    <row r="918" customFormat="false" ht="15" hidden="false" customHeight="true" outlineLevel="0" collapsed="false">
      <c r="A918" s="24"/>
      <c r="B918" s="39"/>
      <c r="C918" s="24"/>
      <c r="D918" s="24"/>
      <c r="E918" s="40"/>
      <c r="F918" s="29"/>
      <c r="G918" s="30"/>
      <c r="H918" s="17" t="str">
        <f aca="false">IF(A918="","",A918&amp;"|"&amp;COUNTIF(A$5:A918,A918))</f>
        <v/>
      </c>
      <c r="I918" s="33" t="str">
        <f aca="false">IF(A918="","",IFERROR(INDEX(Items!$B$5:$B$304,MATCH(D918,Items!$A$5:$A$304,0))&amp;"",""))</f>
        <v/>
      </c>
      <c r="J918" s="34" t="str">
        <f aca="false">IF(A918="","",IFERROR(INDEX(Items!$C$5:$C$304,MATCH(D918,Items!$A$5:$A$304,0))&amp;"",""))</f>
        <v/>
      </c>
      <c r="K918" s="35" t="n">
        <f aca="false">IF(A918="",0,IF(ISNUMBER(F918),F918,IFERROR(INDEX(Items!$D$5:$D$304,MATCH(D918,Items!$A$5:$A$304,0)),0)))</f>
        <v>0</v>
      </c>
      <c r="L918" s="35" t="n">
        <f aca="false">ROUND(N(E918)*K918*(1-N(G918)),2)</f>
        <v>0</v>
      </c>
      <c r="M918" s="36" t="n">
        <f aca="false">IF(A918="",0,IFERROR(INDEX(Items!$E$5:$E$304,MATCH(D918,Items!$A$5:$A$304,0)),0))</f>
        <v>0</v>
      </c>
      <c r="N918" s="37" t="str">
        <f aca="false">IF(A918="","",IFERROR(INDEX(Customers!$E$5:$E$204,MATCH(C918,Customers!$A$5:$A$204,0)),"?"))</f>
        <v/>
      </c>
      <c r="O918" s="38" t="str">
        <f aca="false">IF(A918="","",IF(N918=Settings!$B$17,"No","Yes"))</f>
        <v/>
      </c>
      <c r="P918" s="35" t="n">
        <f aca="false">IF(O918="Yes",ROUND(L918*M918,2),0)</f>
        <v>0</v>
      </c>
      <c r="Q918" s="35" t="n">
        <f aca="false">IF(O918="No",ROUND(L918*M918/2,2),0)</f>
        <v>0</v>
      </c>
      <c r="R918" s="35" t="n">
        <f aca="false">Q918</f>
        <v>0</v>
      </c>
      <c r="S918" s="35" t="n">
        <f aca="false">L918+P918+Q918+R918</f>
        <v>0</v>
      </c>
      <c r="T918" s="34" t="str">
        <f aca="false">IF(A918="","",IFERROR(INDEX(Customers!$B$5:$B$204,MATCH(C918,Customers!$A$5:$A$204,0))&amp;"",""))</f>
        <v/>
      </c>
      <c r="U918" s="38" t="str">
        <f aca="false">IF(A918="","",IF(T918&lt;&gt;"","B2B",IF(AND(O918="Yes",SUMIF($A$5:$A$1004,A918,$L$5:$L$1004)+SUMIF($A$5:$A$1004,A918,$P$5:$P$1004)&gt;100000),"B2CL","B2CS")))</f>
        <v/>
      </c>
      <c r="V918" s="17" t="str">
        <f aca="false">IF(A918="","",TEXT(B918,"mmm-yyyy"))</f>
        <v/>
      </c>
    </row>
    <row r="919" customFormat="false" ht="15" hidden="false" customHeight="true" outlineLevel="0" collapsed="false">
      <c r="A919" s="24"/>
      <c r="B919" s="39"/>
      <c r="C919" s="24"/>
      <c r="D919" s="24"/>
      <c r="E919" s="40"/>
      <c r="F919" s="29"/>
      <c r="G919" s="30"/>
      <c r="H919" s="17" t="str">
        <f aca="false">IF(A919="","",A919&amp;"|"&amp;COUNTIF(A$5:A919,A919))</f>
        <v/>
      </c>
      <c r="I919" s="33" t="str">
        <f aca="false">IF(A919="","",IFERROR(INDEX(Items!$B$5:$B$304,MATCH(D919,Items!$A$5:$A$304,0))&amp;"",""))</f>
        <v/>
      </c>
      <c r="J919" s="34" t="str">
        <f aca="false">IF(A919="","",IFERROR(INDEX(Items!$C$5:$C$304,MATCH(D919,Items!$A$5:$A$304,0))&amp;"",""))</f>
        <v/>
      </c>
      <c r="K919" s="35" t="n">
        <f aca="false">IF(A919="",0,IF(ISNUMBER(F919),F919,IFERROR(INDEX(Items!$D$5:$D$304,MATCH(D919,Items!$A$5:$A$304,0)),0)))</f>
        <v>0</v>
      </c>
      <c r="L919" s="35" t="n">
        <f aca="false">ROUND(N(E919)*K919*(1-N(G919)),2)</f>
        <v>0</v>
      </c>
      <c r="M919" s="36" t="n">
        <f aca="false">IF(A919="",0,IFERROR(INDEX(Items!$E$5:$E$304,MATCH(D919,Items!$A$5:$A$304,0)),0))</f>
        <v>0</v>
      </c>
      <c r="N919" s="37" t="str">
        <f aca="false">IF(A919="","",IFERROR(INDEX(Customers!$E$5:$E$204,MATCH(C919,Customers!$A$5:$A$204,0)),"?"))</f>
        <v/>
      </c>
      <c r="O919" s="38" t="str">
        <f aca="false">IF(A919="","",IF(N919=Settings!$B$17,"No","Yes"))</f>
        <v/>
      </c>
      <c r="P919" s="35" t="n">
        <f aca="false">IF(O919="Yes",ROUND(L919*M919,2),0)</f>
        <v>0</v>
      </c>
      <c r="Q919" s="35" t="n">
        <f aca="false">IF(O919="No",ROUND(L919*M919/2,2),0)</f>
        <v>0</v>
      </c>
      <c r="R919" s="35" t="n">
        <f aca="false">Q919</f>
        <v>0</v>
      </c>
      <c r="S919" s="35" t="n">
        <f aca="false">L919+P919+Q919+R919</f>
        <v>0</v>
      </c>
      <c r="T919" s="34" t="str">
        <f aca="false">IF(A919="","",IFERROR(INDEX(Customers!$B$5:$B$204,MATCH(C919,Customers!$A$5:$A$204,0))&amp;"",""))</f>
        <v/>
      </c>
      <c r="U919" s="38" t="str">
        <f aca="false">IF(A919="","",IF(T919&lt;&gt;"","B2B",IF(AND(O919="Yes",SUMIF($A$5:$A$1004,A919,$L$5:$L$1004)+SUMIF($A$5:$A$1004,A919,$P$5:$P$1004)&gt;100000),"B2CL","B2CS")))</f>
        <v/>
      </c>
      <c r="V919" s="17" t="str">
        <f aca="false">IF(A919="","",TEXT(B919,"mmm-yyyy"))</f>
        <v/>
      </c>
    </row>
    <row r="920" customFormat="false" ht="15" hidden="false" customHeight="true" outlineLevel="0" collapsed="false">
      <c r="A920" s="24"/>
      <c r="B920" s="39"/>
      <c r="C920" s="24"/>
      <c r="D920" s="24"/>
      <c r="E920" s="40"/>
      <c r="F920" s="29"/>
      <c r="G920" s="30"/>
      <c r="H920" s="17" t="str">
        <f aca="false">IF(A920="","",A920&amp;"|"&amp;COUNTIF(A$5:A920,A920))</f>
        <v/>
      </c>
      <c r="I920" s="33" t="str">
        <f aca="false">IF(A920="","",IFERROR(INDEX(Items!$B$5:$B$304,MATCH(D920,Items!$A$5:$A$304,0))&amp;"",""))</f>
        <v/>
      </c>
      <c r="J920" s="34" t="str">
        <f aca="false">IF(A920="","",IFERROR(INDEX(Items!$C$5:$C$304,MATCH(D920,Items!$A$5:$A$304,0))&amp;"",""))</f>
        <v/>
      </c>
      <c r="K920" s="35" t="n">
        <f aca="false">IF(A920="",0,IF(ISNUMBER(F920),F920,IFERROR(INDEX(Items!$D$5:$D$304,MATCH(D920,Items!$A$5:$A$304,0)),0)))</f>
        <v>0</v>
      </c>
      <c r="L920" s="35" t="n">
        <f aca="false">ROUND(N(E920)*K920*(1-N(G920)),2)</f>
        <v>0</v>
      </c>
      <c r="M920" s="36" t="n">
        <f aca="false">IF(A920="",0,IFERROR(INDEX(Items!$E$5:$E$304,MATCH(D920,Items!$A$5:$A$304,0)),0))</f>
        <v>0</v>
      </c>
      <c r="N920" s="37" t="str">
        <f aca="false">IF(A920="","",IFERROR(INDEX(Customers!$E$5:$E$204,MATCH(C920,Customers!$A$5:$A$204,0)),"?"))</f>
        <v/>
      </c>
      <c r="O920" s="38" t="str">
        <f aca="false">IF(A920="","",IF(N920=Settings!$B$17,"No","Yes"))</f>
        <v/>
      </c>
      <c r="P920" s="35" t="n">
        <f aca="false">IF(O920="Yes",ROUND(L920*M920,2),0)</f>
        <v>0</v>
      </c>
      <c r="Q920" s="35" t="n">
        <f aca="false">IF(O920="No",ROUND(L920*M920/2,2),0)</f>
        <v>0</v>
      </c>
      <c r="R920" s="35" t="n">
        <f aca="false">Q920</f>
        <v>0</v>
      </c>
      <c r="S920" s="35" t="n">
        <f aca="false">L920+P920+Q920+R920</f>
        <v>0</v>
      </c>
      <c r="T920" s="34" t="str">
        <f aca="false">IF(A920="","",IFERROR(INDEX(Customers!$B$5:$B$204,MATCH(C920,Customers!$A$5:$A$204,0))&amp;"",""))</f>
        <v/>
      </c>
      <c r="U920" s="38" t="str">
        <f aca="false">IF(A920="","",IF(T920&lt;&gt;"","B2B",IF(AND(O920="Yes",SUMIF($A$5:$A$1004,A920,$L$5:$L$1004)+SUMIF($A$5:$A$1004,A920,$P$5:$P$1004)&gt;100000),"B2CL","B2CS")))</f>
        <v/>
      </c>
      <c r="V920" s="17" t="str">
        <f aca="false">IF(A920="","",TEXT(B920,"mmm-yyyy"))</f>
        <v/>
      </c>
    </row>
    <row r="921" customFormat="false" ht="15" hidden="false" customHeight="true" outlineLevel="0" collapsed="false">
      <c r="A921" s="24"/>
      <c r="B921" s="39"/>
      <c r="C921" s="24"/>
      <c r="D921" s="24"/>
      <c r="E921" s="40"/>
      <c r="F921" s="29"/>
      <c r="G921" s="30"/>
      <c r="H921" s="17" t="str">
        <f aca="false">IF(A921="","",A921&amp;"|"&amp;COUNTIF(A$5:A921,A921))</f>
        <v/>
      </c>
      <c r="I921" s="33" t="str">
        <f aca="false">IF(A921="","",IFERROR(INDEX(Items!$B$5:$B$304,MATCH(D921,Items!$A$5:$A$304,0))&amp;"",""))</f>
        <v/>
      </c>
      <c r="J921" s="34" t="str">
        <f aca="false">IF(A921="","",IFERROR(INDEX(Items!$C$5:$C$304,MATCH(D921,Items!$A$5:$A$304,0))&amp;"",""))</f>
        <v/>
      </c>
      <c r="K921" s="35" t="n">
        <f aca="false">IF(A921="",0,IF(ISNUMBER(F921),F921,IFERROR(INDEX(Items!$D$5:$D$304,MATCH(D921,Items!$A$5:$A$304,0)),0)))</f>
        <v>0</v>
      </c>
      <c r="L921" s="35" t="n">
        <f aca="false">ROUND(N(E921)*K921*(1-N(G921)),2)</f>
        <v>0</v>
      </c>
      <c r="M921" s="36" t="n">
        <f aca="false">IF(A921="",0,IFERROR(INDEX(Items!$E$5:$E$304,MATCH(D921,Items!$A$5:$A$304,0)),0))</f>
        <v>0</v>
      </c>
      <c r="N921" s="37" t="str">
        <f aca="false">IF(A921="","",IFERROR(INDEX(Customers!$E$5:$E$204,MATCH(C921,Customers!$A$5:$A$204,0)),"?"))</f>
        <v/>
      </c>
      <c r="O921" s="38" t="str">
        <f aca="false">IF(A921="","",IF(N921=Settings!$B$17,"No","Yes"))</f>
        <v/>
      </c>
      <c r="P921" s="35" t="n">
        <f aca="false">IF(O921="Yes",ROUND(L921*M921,2),0)</f>
        <v>0</v>
      </c>
      <c r="Q921" s="35" t="n">
        <f aca="false">IF(O921="No",ROUND(L921*M921/2,2),0)</f>
        <v>0</v>
      </c>
      <c r="R921" s="35" t="n">
        <f aca="false">Q921</f>
        <v>0</v>
      </c>
      <c r="S921" s="35" t="n">
        <f aca="false">L921+P921+Q921+R921</f>
        <v>0</v>
      </c>
      <c r="T921" s="34" t="str">
        <f aca="false">IF(A921="","",IFERROR(INDEX(Customers!$B$5:$B$204,MATCH(C921,Customers!$A$5:$A$204,0))&amp;"",""))</f>
        <v/>
      </c>
      <c r="U921" s="38" t="str">
        <f aca="false">IF(A921="","",IF(T921&lt;&gt;"","B2B",IF(AND(O921="Yes",SUMIF($A$5:$A$1004,A921,$L$5:$L$1004)+SUMIF($A$5:$A$1004,A921,$P$5:$P$1004)&gt;100000),"B2CL","B2CS")))</f>
        <v/>
      </c>
      <c r="V921" s="17" t="str">
        <f aca="false">IF(A921="","",TEXT(B921,"mmm-yyyy"))</f>
        <v/>
      </c>
    </row>
    <row r="922" customFormat="false" ht="15" hidden="false" customHeight="true" outlineLevel="0" collapsed="false">
      <c r="A922" s="24"/>
      <c r="B922" s="39"/>
      <c r="C922" s="24"/>
      <c r="D922" s="24"/>
      <c r="E922" s="40"/>
      <c r="F922" s="29"/>
      <c r="G922" s="30"/>
      <c r="H922" s="17" t="str">
        <f aca="false">IF(A922="","",A922&amp;"|"&amp;COUNTIF(A$5:A922,A922))</f>
        <v/>
      </c>
      <c r="I922" s="33" t="str">
        <f aca="false">IF(A922="","",IFERROR(INDEX(Items!$B$5:$B$304,MATCH(D922,Items!$A$5:$A$304,0))&amp;"",""))</f>
        <v/>
      </c>
      <c r="J922" s="34" t="str">
        <f aca="false">IF(A922="","",IFERROR(INDEX(Items!$C$5:$C$304,MATCH(D922,Items!$A$5:$A$304,0))&amp;"",""))</f>
        <v/>
      </c>
      <c r="K922" s="35" t="n">
        <f aca="false">IF(A922="",0,IF(ISNUMBER(F922),F922,IFERROR(INDEX(Items!$D$5:$D$304,MATCH(D922,Items!$A$5:$A$304,0)),0)))</f>
        <v>0</v>
      </c>
      <c r="L922" s="35" t="n">
        <f aca="false">ROUND(N(E922)*K922*(1-N(G922)),2)</f>
        <v>0</v>
      </c>
      <c r="M922" s="36" t="n">
        <f aca="false">IF(A922="",0,IFERROR(INDEX(Items!$E$5:$E$304,MATCH(D922,Items!$A$5:$A$304,0)),0))</f>
        <v>0</v>
      </c>
      <c r="N922" s="37" t="str">
        <f aca="false">IF(A922="","",IFERROR(INDEX(Customers!$E$5:$E$204,MATCH(C922,Customers!$A$5:$A$204,0)),"?"))</f>
        <v/>
      </c>
      <c r="O922" s="38" t="str">
        <f aca="false">IF(A922="","",IF(N922=Settings!$B$17,"No","Yes"))</f>
        <v/>
      </c>
      <c r="P922" s="35" t="n">
        <f aca="false">IF(O922="Yes",ROUND(L922*M922,2),0)</f>
        <v>0</v>
      </c>
      <c r="Q922" s="35" t="n">
        <f aca="false">IF(O922="No",ROUND(L922*M922/2,2),0)</f>
        <v>0</v>
      </c>
      <c r="R922" s="35" t="n">
        <f aca="false">Q922</f>
        <v>0</v>
      </c>
      <c r="S922" s="35" t="n">
        <f aca="false">L922+P922+Q922+R922</f>
        <v>0</v>
      </c>
      <c r="T922" s="34" t="str">
        <f aca="false">IF(A922="","",IFERROR(INDEX(Customers!$B$5:$B$204,MATCH(C922,Customers!$A$5:$A$204,0))&amp;"",""))</f>
        <v/>
      </c>
      <c r="U922" s="38" t="str">
        <f aca="false">IF(A922="","",IF(T922&lt;&gt;"","B2B",IF(AND(O922="Yes",SUMIF($A$5:$A$1004,A922,$L$5:$L$1004)+SUMIF($A$5:$A$1004,A922,$P$5:$P$1004)&gt;100000),"B2CL","B2CS")))</f>
        <v/>
      </c>
      <c r="V922" s="17" t="str">
        <f aca="false">IF(A922="","",TEXT(B922,"mmm-yyyy"))</f>
        <v/>
      </c>
    </row>
    <row r="923" customFormat="false" ht="15" hidden="false" customHeight="true" outlineLevel="0" collapsed="false">
      <c r="A923" s="24"/>
      <c r="B923" s="39"/>
      <c r="C923" s="24"/>
      <c r="D923" s="24"/>
      <c r="E923" s="40"/>
      <c r="F923" s="29"/>
      <c r="G923" s="30"/>
      <c r="H923" s="17" t="str">
        <f aca="false">IF(A923="","",A923&amp;"|"&amp;COUNTIF(A$5:A923,A923))</f>
        <v/>
      </c>
      <c r="I923" s="33" t="str">
        <f aca="false">IF(A923="","",IFERROR(INDEX(Items!$B$5:$B$304,MATCH(D923,Items!$A$5:$A$304,0))&amp;"",""))</f>
        <v/>
      </c>
      <c r="J923" s="34" t="str">
        <f aca="false">IF(A923="","",IFERROR(INDEX(Items!$C$5:$C$304,MATCH(D923,Items!$A$5:$A$304,0))&amp;"",""))</f>
        <v/>
      </c>
      <c r="K923" s="35" t="n">
        <f aca="false">IF(A923="",0,IF(ISNUMBER(F923),F923,IFERROR(INDEX(Items!$D$5:$D$304,MATCH(D923,Items!$A$5:$A$304,0)),0)))</f>
        <v>0</v>
      </c>
      <c r="L923" s="35" t="n">
        <f aca="false">ROUND(N(E923)*K923*(1-N(G923)),2)</f>
        <v>0</v>
      </c>
      <c r="M923" s="36" t="n">
        <f aca="false">IF(A923="",0,IFERROR(INDEX(Items!$E$5:$E$304,MATCH(D923,Items!$A$5:$A$304,0)),0))</f>
        <v>0</v>
      </c>
      <c r="N923" s="37" t="str">
        <f aca="false">IF(A923="","",IFERROR(INDEX(Customers!$E$5:$E$204,MATCH(C923,Customers!$A$5:$A$204,0)),"?"))</f>
        <v/>
      </c>
      <c r="O923" s="38" t="str">
        <f aca="false">IF(A923="","",IF(N923=Settings!$B$17,"No","Yes"))</f>
        <v/>
      </c>
      <c r="P923" s="35" t="n">
        <f aca="false">IF(O923="Yes",ROUND(L923*M923,2),0)</f>
        <v>0</v>
      </c>
      <c r="Q923" s="35" t="n">
        <f aca="false">IF(O923="No",ROUND(L923*M923/2,2),0)</f>
        <v>0</v>
      </c>
      <c r="R923" s="35" t="n">
        <f aca="false">Q923</f>
        <v>0</v>
      </c>
      <c r="S923" s="35" t="n">
        <f aca="false">L923+P923+Q923+R923</f>
        <v>0</v>
      </c>
      <c r="T923" s="34" t="str">
        <f aca="false">IF(A923="","",IFERROR(INDEX(Customers!$B$5:$B$204,MATCH(C923,Customers!$A$5:$A$204,0))&amp;"",""))</f>
        <v/>
      </c>
      <c r="U923" s="38" t="str">
        <f aca="false">IF(A923="","",IF(T923&lt;&gt;"","B2B",IF(AND(O923="Yes",SUMIF($A$5:$A$1004,A923,$L$5:$L$1004)+SUMIF($A$5:$A$1004,A923,$P$5:$P$1004)&gt;100000),"B2CL","B2CS")))</f>
        <v/>
      </c>
      <c r="V923" s="17" t="str">
        <f aca="false">IF(A923="","",TEXT(B923,"mmm-yyyy"))</f>
        <v/>
      </c>
    </row>
    <row r="924" customFormat="false" ht="15" hidden="false" customHeight="true" outlineLevel="0" collapsed="false">
      <c r="A924" s="24"/>
      <c r="B924" s="39"/>
      <c r="C924" s="24"/>
      <c r="D924" s="24"/>
      <c r="E924" s="40"/>
      <c r="F924" s="29"/>
      <c r="G924" s="30"/>
      <c r="H924" s="17" t="str">
        <f aca="false">IF(A924="","",A924&amp;"|"&amp;COUNTIF(A$5:A924,A924))</f>
        <v/>
      </c>
      <c r="I924" s="33" t="str">
        <f aca="false">IF(A924="","",IFERROR(INDEX(Items!$B$5:$B$304,MATCH(D924,Items!$A$5:$A$304,0))&amp;"",""))</f>
        <v/>
      </c>
      <c r="J924" s="34" t="str">
        <f aca="false">IF(A924="","",IFERROR(INDEX(Items!$C$5:$C$304,MATCH(D924,Items!$A$5:$A$304,0))&amp;"",""))</f>
        <v/>
      </c>
      <c r="K924" s="35" t="n">
        <f aca="false">IF(A924="",0,IF(ISNUMBER(F924),F924,IFERROR(INDEX(Items!$D$5:$D$304,MATCH(D924,Items!$A$5:$A$304,0)),0)))</f>
        <v>0</v>
      </c>
      <c r="L924" s="35" t="n">
        <f aca="false">ROUND(N(E924)*K924*(1-N(G924)),2)</f>
        <v>0</v>
      </c>
      <c r="M924" s="36" t="n">
        <f aca="false">IF(A924="",0,IFERROR(INDEX(Items!$E$5:$E$304,MATCH(D924,Items!$A$5:$A$304,0)),0))</f>
        <v>0</v>
      </c>
      <c r="N924" s="37" t="str">
        <f aca="false">IF(A924="","",IFERROR(INDEX(Customers!$E$5:$E$204,MATCH(C924,Customers!$A$5:$A$204,0)),"?"))</f>
        <v/>
      </c>
      <c r="O924" s="38" t="str">
        <f aca="false">IF(A924="","",IF(N924=Settings!$B$17,"No","Yes"))</f>
        <v/>
      </c>
      <c r="P924" s="35" t="n">
        <f aca="false">IF(O924="Yes",ROUND(L924*M924,2),0)</f>
        <v>0</v>
      </c>
      <c r="Q924" s="35" t="n">
        <f aca="false">IF(O924="No",ROUND(L924*M924/2,2),0)</f>
        <v>0</v>
      </c>
      <c r="R924" s="35" t="n">
        <f aca="false">Q924</f>
        <v>0</v>
      </c>
      <c r="S924" s="35" t="n">
        <f aca="false">L924+P924+Q924+R924</f>
        <v>0</v>
      </c>
      <c r="T924" s="34" t="str">
        <f aca="false">IF(A924="","",IFERROR(INDEX(Customers!$B$5:$B$204,MATCH(C924,Customers!$A$5:$A$204,0))&amp;"",""))</f>
        <v/>
      </c>
      <c r="U924" s="38" t="str">
        <f aca="false">IF(A924="","",IF(T924&lt;&gt;"","B2B",IF(AND(O924="Yes",SUMIF($A$5:$A$1004,A924,$L$5:$L$1004)+SUMIF($A$5:$A$1004,A924,$P$5:$P$1004)&gt;100000),"B2CL","B2CS")))</f>
        <v/>
      </c>
      <c r="V924" s="17" t="str">
        <f aca="false">IF(A924="","",TEXT(B924,"mmm-yyyy"))</f>
        <v/>
      </c>
    </row>
    <row r="925" customFormat="false" ht="15" hidden="false" customHeight="true" outlineLevel="0" collapsed="false">
      <c r="A925" s="24"/>
      <c r="B925" s="39"/>
      <c r="C925" s="24"/>
      <c r="D925" s="24"/>
      <c r="E925" s="40"/>
      <c r="F925" s="29"/>
      <c r="G925" s="30"/>
      <c r="H925" s="17" t="str">
        <f aca="false">IF(A925="","",A925&amp;"|"&amp;COUNTIF(A$5:A925,A925))</f>
        <v/>
      </c>
      <c r="I925" s="33" t="str">
        <f aca="false">IF(A925="","",IFERROR(INDEX(Items!$B$5:$B$304,MATCH(D925,Items!$A$5:$A$304,0))&amp;"",""))</f>
        <v/>
      </c>
      <c r="J925" s="34" t="str">
        <f aca="false">IF(A925="","",IFERROR(INDEX(Items!$C$5:$C$304,MATCH(D925,Items!$A$5:$A$304,0))&amp;"",""))</f>
        <v/>
      </c>
      <c r="K925" s="35" t="n">
        <f aca="false">IF(A925="",0,IF(ISNUMBER(F925),F925,IFERROR(INDEX(Items!$D$5:$D$304,MATCH(D925,Items!$A$5:$A$304,0)),0)))</f>
        <v>0</v>
      </c>
      <c r="L925" s="35" t="n">
        <f aca="false">ROUND(N(E925)*K925*(1-N(G925)),2)</f>
        <v>0</v>
      </c>
      <c r="M925" s="36" t="n">
        <f aca="false">IF(A925="",0,IFERROR(INDEX(Items!$E$5:$E$304,MATCH(D925,Items!$A$5:$A$304,0)),0))</f>
        <v>0</v>
      </c>
      <c r="N925" s="37" t="str">
        <f aca="false">IF(A925="","",IFERROR(INDEX(Customers!$E$5:$E$204,MATCH(C925,Customers!$A$5:$A$204,0)),"?"))</f>
        <v/>
      </c>
      <c r="O925" s="38" t="str">
        <f aca="false">IF(A925="","",IF(N925=Settings!$B$17,"No","Yes"))</f>
        <v/>
      </c>
      <c r="P925" s="35" t="n">
        <f aca="false">IF(O925="Yes",ROUND(L925*M925,2),0)</f>
        <v>0</v>
      </c>
      <c r="Q925" s="35" t="n">
        <f aca="false">IF(O925="No",ROUND(L925*M925/2,2),0)</f>
        <v>0</v>
      </c>
      <c r="R925" s="35" t="n">
        <f aca="false">Q925</f>
        <v>0</v>
      </c>
      <c r="S925" s="35" t="n">
        <f aca="false">L925+P925+Q925+R925</f>
        <v>0</v>
      </c>
      <c r="T925" s="34" t="str">
        <f aca="false">IF(A925="","",IFERROR(INDEX(Customers!$B$5:$B$204,MATCH(C925,Customers!$A$5:$A$204,0))&amp;"",""))</f>
        <v/>
      </c>
      <c r="U925" s="38" t="str">
        <f aca="false">IF(A925="","",IF(T925&lt;&gt;"","B2B",IF(AND(O925="Yes",SUMIF($A$5:$A$1004,A925,$L$5:$L$1004)+SUMIF($A$5:$A$1004,A925,$P$5:$P$1004)&gt;100000),"B2CL","B2CS")))</f>
        <v/>
      </c>
      <c r="V925" s="17" t="str">
        <f aca="false">IF(A925="","",TEXT(B925,"mmm-yyyy"))</f>
        <v/>
      </c>
    </row>
    <row r="926" customFormat="false" ht="15" hidden="false" customHeight="true" outlineLevel="0" collapsed="false">
      <c r="A926" s="24"/>
      <c r="B926" s="39"/>
      <c r="C926" s="24"/>
      <c r="D926" s="24"/>
      <c r="E926" s="40"/>
      <c r="F926" s="29"/>
      <c r="G926" s="30"/>
      <c r="H926" s="17" t="str">
        <f aca="false">IF(A926="","",A926&amp;"|"&amp;COUNTIF(A$5:A926,A926))</f>
        <v/>
      </c>
      <c r="I926" s="33" t="str">
        <f aca="false">IF(A926="","",IFERROR(INDEX(Items!$B$5:$B$304,MATCH(D926,Items!$A$5:$A$304,0))&amp;"",""))</f>
        <v/>
      </c>
      <c r="J926" s="34" t="str">
        <f aca="false">IF(A926="","",IFERROR(INDEX(Items!$C$5:$C$304,MATCH(D926,Items!$A$5:$A$304,0))&amp;"",""))</f>
        <v/>
      </c>
      <c r="K926" s="35" t="n">
        <f aca="false">IF(A926="",0,IF(ISNUMBER(F926),F926,IFERROR(INDEX(Items!$D$5:$D$304,MATCH(D926,Items!$A$5:$A$304,0)),0)))</f>
        <v>0</v>
      </c>
      <c r="L926" s="35" t="n">
        <f aca="false">ROUND(N(E926)*K926*(1-N(G926)),2)</f>
        <v>0</v>
      </c>
      <c r="M926" s="36" t="n">
        <f aca="false">IF(A926="",0,IFERROR(INDEX(Items!$E$5:$E$304,MATCH(D926,Items!$A$5:$A$304,0)),0))</f>
        <v>0</v>
      </c>
      <c r="N926" s="37" t="str">
        <f aca="false">IF(A926="","",IFERROR(INDEX(Customers!$E$5:$E$204,MATCH(C926,Customers!$A$5:$A$204,0)),"?"))</f>
        <v/>
      </c>
      <c r="O926" s="38" t="str">
        <f aca="false">IF(A926="","",IF(N926=Settings!$B$17,"No","Yes"))</f>
        <v/>
      </c>
      <c r="P926" s="35" t="n">
        <f aca="false">IF(O926="Yes",ROUND(L926*M926,2),0)</f>
        <v>0</v>
      </c>
      <c r="Q926" s="35" t="n">
        <f aca="false">IF(O926="No",ROUND(L926*M926/2,2),0)</f>
        <v>0</v>
      </c>
      <c r="R926" s="35" t="n">
        <f aca="false">Q926</f>
        <v>0</v>
      </c>
      <c r="S926" s="35" t="n">
        <f aca="false">L926+P926+Q926+R926</f>
        <v>0</v>
      </c>
      <c r="T926" s="34" t="str">
        <f aca="false">IF(A926="","",IFERROR(INDEX(Customers!$B$5:$B$204,MATCH(C926,Customers!$A$5:$A$204,0))&amp;"",""))</f>
        <v/>
      </c>
      <c r="U926" s="38" t="str">
        <f aca="false">IF(A926="","",IF(T926&lt;&gt;"","B2B",IF(AND(O926="Yes",SUMIF($A$5:$A$1004,A926,$L$5:$L$1004)+SUMIF($A$5:$A$1004,A926,$P$5:$P$1004)&gt;100000),"B2CL","B2CS")))</f>
        <v/>
      </c>
      <c r="V926" s="17" t="str">
        <f aca="false">IF(A926="","",TEXT(B926,"mmm-yyyy"))</f>
        <v/>
      </c>
    </row>
    <row r="927" customFormat="false" ht="15" hidden="false" customHeight="true" outlineLevel="0" collapsed="false">
      <c r="A927" s="24"/>
      <c r="B927" s="39"/>
      <c r="C927" s="24"/>
      <c r="D927" s="24"/>
      <c r="E927" s="40"/>
      <c r="F927" s="29"/>
      <c r="G927" s="30"/>
      <c r="H927" s="17" t="str">
        <f aca="false">IF(A927="","",A927&amp;"|"&amp;COUNTIF(A$5:A927,A927))</f>
        <v/>
      </c>
      <c r="I927" s="33" t="str">
        <f aca="false">IF(A927="","",IFERROR(INDEX(Items!$B$5:$B$304,MATCH(D927,Items!$A$5:$A$304,0))&amp;"",""))</f>
        <v/>
      </c>
      <c r="J927" s="34" t="str">
        <f aca="false">IF(A927="","",IFERROR(INDEX(Items!$C$5:$C$304,MATCH(D927,Items!$A$5:$A$304,0))&amp;"",""))</f>
        <v/>
      </c>
      <c r="K927" s="35" t="n">
        <f aca="false">IF(A927="",0,IF(ISNUMBER(F927),F927,IFERROR(INDEX(Items!$D$5:$D$304,MATCH(D927,Items!$A$5:$A$304,0)),0)))</f>
        <v>0</v>
      </c>
      <c r="L927" s="35" t="n">
        <f aca="false">ROUND(N(E927)*K927*(1-N(G927)),2)</f>
        <v>0</v>
      </c>
      <c r="M927" s="36" t="n">
        <f aca="false">IF(A927="",0,IFERROR(INDEX(Items!$E$5:$E$304,MATCH(D927,Items!$A$5:$A$304,0)),0))</f>
        <v>0</v>
      </c>
      <c r="N927" s="37" t="str">
        <f aca="false">IF(A927="","",IFERROR(INDEX(Customers!$E$5:$E$204,MATCH(C927,Customers!$A$5:$A$204,0)),"?"))</f>
        <v/>
      </c>
      <c r="O927" s="38" t="str">
        <f aca="false">IF(A927="","",IF(N927=Settings!$B$17,"No","Yes"))</f>
        <v/>
      </c>
      <c r="P927" s="35" t="n">
        <f aca="false">IF(O927="Yes",ROUND(L927*M927,2),0)</f>
        <v>0</v>
      </c>
      <c r="Q927" s="35" t="n">
        <f aca="false">IF(O927="No",ROUND(L927*M927/2,2),0)</f>
        <v>0</v>
      </c>
      <c r="R927" s="35" t="n">
        <f aca="false">Q927</f>
        <v>0</v>
      </c>
      <c r="S927" s="35" t="n">
        <f aca="false">L927+P927+Q927+R927</f>
        <v>0</v>
      </c>
      <c r="T927" s="34" t="str">
        <f aca="false">IF(A927="","",IFERROR(INDEX(Customers!$B$5:$B$204,MATCH(C927,Customers!$A$5:$A$204,0))&amp;"",""))</f>
        <v/>
      </c>
      <c r="U927" s="38" t="str">
        <f aca="false">IF(A927="","",IF(T927&lt;&gt;"","B2B",IF(AND(O927="Yes",SUMIF($A$5:$A$1004,A927,$L$5:$L$1004)+SUMIF($A$5:$A$1004,A927,$P$5:$P$1004)&gt;100000),"B2CL","B2CS")))</f>
        <v/>
      </c>
      <c r="V927" s="17" t="str">
        <f aca="false">IF(A927="","",TEXT(B927,"mmm-yyyy"))</f>
        <v/>
      </c>
    </row>
    <row r="928" customFormat="false" ht="15" hidden="false" customHeight="true" outlineLevel="0" collapsed="false">
      <c r="A928" s="24"/>
      <c r="B928" s="39"/>
      <c r="C928" s="24"/>
      <c r="D928" s="24"/>
      <c r="E928" s="40"/>
      <c r="F928" s="29"/>
      <c r="G928" s="30"/>
      <c r="H928" s="17" t="str">
        <f aca="false">IF(A928="","",A928&amp;"|"&amp;COUNTIF(A$5:A928,A928))</f>
        <v/>
      </c>
      <c r="I928" s="33" t="str">
        <f aca="false">IF(A928="","",IFERROR(INDEX(Items!$B$5:$B$304,MATCH(D928,Items!$A$5:$A$304,0))&amp;"",""))</f>
        <v/>
      </c>
      <c r="J928" s="34" t="str">
        <f aca="false">IF(A928="","",IFERROR(INDEX(Items!$C$5:$C$304,MATCH(D928,Items!$A$5:$A$304,0))&amp;"",""))</f>
        <v/>
      </c>
      <c r="K928" s="35" t="n">
        <f aca="false">IF(A928="",0,IF(ISNUMBER(F928),F928,IFERROR(INDEX(Items!$D$5:$D$304,MATCH(D928,Items!$A$5:$A$304,0)),0)))</f>
        <v>0</v>
      </c>
      <c r="L928" s="35" t="n">
        <f aca="false">ROUND(N(E928)*K928*(1-N(G928)),2)</f>
        <v>0</v>
      </c>
      <c r="M928" s="36" t="n">
        <f aca="false">IF(A928="",0,IFERROR(INDEX(Items!$E$5:$E$304,MATCH(D928,Items!$A$5:$A$304,0)),0))</f>
        <v>0</v>
      </c>
      <c r="N928" s="37" t="str">
        <f aca="false">IF(A928="","",IFERROR(INDEX(Customers!$E$5:$E$204,MATCH(C928,Customers!$A$5:$A$204,0)),"?"))</f>
        <v/>
      </c>
      <c r="O928" s="38" t="str">
        <f aca="false">IF(A928="","",IF(N928=Settings!$B$17,"No","Yes"))</f>
        <v/>
      </c>
      <c r="P928" s="35" t="n">
        <f aca="false">IF(O928="Yes",ROUND(L928*M928,2),0)</f>
        <v>0</v>
      </c>
      <c r="Q928" s="35" t="n">
        <f aca="false">IF(O928="No",ROUND(L928*M928/2,2),0)</f>
        <v>0</v>
      </c>
      <c r="R928" s="35" t="n">
        <f aca="false">Q928</f>
        <v>0</v>
      </c>
      <c r="S928" s="35" t="n">
        <f aca="false">L928+P928+Q928+R928</f>
        <v>0</v>
      </c>
      <c r="T928" s="34" t="str">
        <f aca="false">IF(A928="","",IFERROR(INDEX(Customers!$B$5:$B$204,MATCH(C928,Customers!$A$5:$A$204,0))&amp;"",""))</f>
        <v/>
      </c>
      <c r="U928" s="38" t="str">
        <f aca="false">IF(A928="","",IF(T928&lt;&gt;"","B2B",IF(AND(O928="Yes",SUMIF($A$5:$A$1004,A928,$L$5:$L$1004)+SUMIF($A$5:$A$1004,A928,$P$5:$P$1004)&gt;100000),"B2CL","B2CS")))</f>
        <v/>
      </c>
      <c r="V928" s="17" t="str">
        <f aca="false">IF(A928="","",TEXT(B928,"mmm-yyyy"))</f>
        <v/>
      </c>
    </row>
    <row r="929" customFormat="false" ht="15" hidden="false" customHeight="true" outlineLevel="0" collapsed="false">
      <c r="A929" s="24"/>
      <c r="B929" s="39"/>
      <c r="C929" s="24"/>
      <c r="D929" s="24"/>
      <c r="E929" s="40"/>
      <c r="F929" s="29"/>
      <c r="G929" s="30"/>
      <c r="H929" s="17" t="str">
        <f aca="false">IF(A929="","",A929&amp;"|"&amp;COUNTIF(A$5:A929,A929))</f>
        <v/>
      </c>
      <c r="I929" s="33" t="str">
        <f aca="false">IF(A929="","",IFERROR(INDEX(Items!$B$5:$B$304,MATCH(D929,Items!$A$5:$A$304,0))&amp;"",""))</f>
        <v/>
      </c>
      <c r="J929" s="34" t="str">
        <f aca="false">IF(A929="","",IFERROR(INDEX(Items!$C$5:$C$304,MATCH(D929,Items!$A$5:$A$304,0))&amp;"",""))</f>
        <v/>
      </c>
      <c r="K929" s="35" t="n">
        <f aca="false">IF(A929="",0,IF(ISNUMBER(F929),F929,IFERROR(INDEX(Items!$D$5:$D$304,MATCH(D929,Items!$A$5:$A$304,0)),0)))</f>
        <v>0</v>
      </c>
      <c r="L929" s="35" t="n">
        <f aca="false">ROUND(N(E929)*K929*(1-N(G929)),2)</f>
        <v>0</v>
      </c>
      <c r="M929" s="36" t="n">
        <f aca="false">IF(A929="",0,IFERROR(INDEX(Items!$E$5:$E$304,MATCH(D929,Items!$A$5:$A$304,0)),0))</f>
        <v>0</v>
      </c>
      <c r="N929" s="37" t="str">
        <f aca="false">IF(A929="","",IFERROR(INDEX(Customers!$E$5:$E$204,MATCH(C929,Customers!$A$5:$A$204,0)),"?"))</f>
        <v/>
      </c>
      <c r="O929" s="38" t="str">
        <f aca="false">IF(A929="","",IF(N929=Settings!$B$17,"No","Yes"))</f>
        <v/>
      </c>
      <c r="P929" s="35" t="n">
        <f aca="false">IF(O929="Yes",ROUND(L929*M929,2),0)</f>
        <v>0</v>
      </c>
      <c r="Q929" s="35" t="n">
        <f aca="false">IF(O929="No",ROUND(L929*M929/2,2),0)</f>
        <v>0</v>
      </c>
      <c r="R929" s="35" t="n">
        <f aca="false">Q929</f>
        <v>0</v>
      </c>
      <c r="S929" s="35" t="n">
        <f aca="false">L929+P929+Q929+R929</f>
        <v>0</v>
      </c>
      <c r="T929" s="34" t="str">
        <f aca="false">IF(A929="","",IFERROR(INDEX(Customers!$B$5:$B$204,MATCH(C929,Customers!$A$5:$A$204,0))&amp;"",""))</f>
        <v/>
      </c>
      <c r="U929" s="38" t="str">
        <f aca="false">IF(A929="","",IF(T929&lt;&gt;"","B2B",IF(AND(O929="Yes",SUMIF($A$5:$A$1004,A929,$L$5:$L$1004)+SUMIF($A$5:$A$1004,A929,$P$5:$P$1004)&gt;100000),"B2CL","B2CS")))</f>
        <v/>
      </c>
      <c r="V929" s="17" t="str">
        <f aca="false">IF(A929="","",TEXT(B929,"mmm-yyyy"))</f>
        <v/>
      </c>
    </row>
    <row r="930" customFormat="false" ht="15" hidden="false" customHeight="true" outlineLevel="0" collapsed="false">
      <c r="A930" s="24"/>
      <c r="B930" s="39"/>
      <c r="C930" s="24"/>
      <c r="D930" s="24"/>
      <c r="E930" s="40"/>
      <c r="F930" s="29"/>
      <c r="G930" s="30"/>
      <c r="H930" s="17" t="str">
        <f aca="false">IF(A930="","",A930&amp;"|"&amp;COUNTIF(A$5:A930,A930))</f>
        <v/>
      </c>
      <c r="I930" s="33" t="str">
        <f aca="false">IF(A930="","",IFERROR(INDEX(Items!$B$5:$B$304,MATCH(D930,Items!$A$5:$A$304,0))&amp;"",""))</f>
        <v/>
      </c>
      <c r="J930" s="34" t="str">
        <f aca="false">IF(A930="","",IFERROR(INDEX(Items!$C$5:$C$304,MATCH(D930,Items!$A$5:$A$304,0))&amp;"",""))</f>
        <v/>
      </c>
      <c r="K930" s="35" t="n">
        <f aca="false">IF(A930="",0,IF(ISNUMBER(F930),F930,IFERROR(INDEX(Items!$D$5:$D$304,MATCH(D930,Items!$A$5:$A$304,0)),0)))</f>
        <v>0</v>
      </c>
      <c r="L930" s="35" t="n">
        <f aca="false">ROUND(N(E930)*K930*(1-N(G930)),2)</f>
        <v>0</v>
      </c>
      <c r="M930" s="36" t="n">
        <f aca="false">IF(A930="",0,IFERROR(INDEX(Items!$E$5:$E$304,MATCH(D930,Items!$A$5:$A$304,0)),0))</f>
        <v>0</v>
      </c>
      <c r="N930" s="37" t="str">
        <f aca="false">IF(A930="","",IFERROR(INDEX(Customers!$E$5:$E$204,MATCH(C930,Customers!$A$5:$A$204,0)),"?"))</f>
        <v/>
      </c>
      <c r="O930" s="38" t="str">
        <f aca="false">IF(A930="","",IF(N930=Settings!$B$17,"No","Yes"))</f>
        <v/>
      </c>
      <c r="P930" s="35" t="n">
        <f aca="false">IF(O930="Yes",ROUND(L930*M930,2),0)</f>
        <v>0</v>
      </c>
      <c r="Q930" s="35" t="n">
        <f aca="false">IF(O930="No",ROUND(L930*M930/2,2),0)</f>
        <v>0</v>
      </c>
      <c r="R930" s="35" t="n">
        <f aca="false">Q930</f>
        <v>0</v>
      </c>
      <c r="S930" s="35" t="n">
        <f aca="false">L930+P930+Q930+R930</f>
        <v>0</v>
      </c>
      <c r="T930" s="34" t="str">
        <f aca="false">IF(A930="","",IFERROR(INDEX(Customers!$B$5:$B$204,MATCH(C930,Customers!$A$5:$A$204,0))&amp;"",""))</f>
        <v/>
      </c>
      <c r="U930" s="38" t="str">
        <f aca="false">IF(A930="","",IF(T930&lt;&gt;"","B2B",IF(AND(O930="Yes",SUMIF($A$5:$A$1004,A930,$L$5:$L$1004)+SUMIF($A$5:$A$1004,A930,$P$5:$P$1004)&gt;100000),"B2CL","B2CS")))</f>
        <v/>
      </c>
      <c r="V930" s="17" t="str">
        <f aca="false">IF(A930="","",TEXT(B930,"mmm-yyyy"))</f>
        <v/>
      </c>
    </row>
    <row r="931" customFormat="false" ht="15" hidden="false" customHeight="true" outlineLevel="0" collapsed="false">
      <c r="A931" s="24"/>
      <c r="B931" s="39"/>
      <c r="C931" s="24"/>
      <c r="D931" s="24"/>
      <c r="E931" s="40"/>
      <c r="F931" s="29"/>
      <c r="G931" s="30"/>
      <c r="H931" s="17" t="str">
        <f aca="false">IF(A931="","",A931&amp;"|"&amp;COUNTIF(A$5:A931,A931))</f>
        <v/>
      </c>
      <c r="I931" s="33" t="str">
        <f aca="false">IF(A931="","",IFERROR(INDEX(Items!$B$5:$B$304,MATCH(D931,Items!$A$5:$A$304,0))&amp;"",""))</f>
        <v/>
      </c>
      <c r="J931" s="34" t="str">
        <f aca="false">IF(A931="","",IFERROR(INDEX(Items!$C$5:$C$304,MATCH(D931,Items!$A$5:$A$304,0))&amp;"",""))</f>
        <v/>
      </c>
      <c r="K931" s="35" t="n">
        <f aca="false">IF(A931="",0,IF(ISNUMBER(F931),F931,IFERROR(INDEX(Items!$D$5:$D$304,MATCH(D931,Items!$A$5:$A$304,0)),0)))</f>
        <v>0</v>
      </c>
      <c r="L931" s="35" t="n">
        <f aca="false">ROUND(N(E931)*K931*(1-N(G931)),2)</f>
        <v>0</v>
      </c>
      <c r="M931" s="36" t="n">
        <f aca="false">IF(A931="",0,IFERROR(INDEX(Items!$E$5:$E$304,MATCH(D931,Items!$A$5:$A$304,0)),0))</f>
        <v>0</v>
      </c>
      <c r="N931" s="37" t="str">
        <f aca="false">IF(A931="","",IFERROR(INDEX(Customers!$E$5:$E$204,MATCH(C931,Customers!$A$5:$A$204,0)),"?"))</f>
        <v/>
      </c>
      <c r="O931" s="38" t="str">
        <f aca="false">IF(A931="","",IF(N931=Settings!$B$17,"No","Yes"))</f>
        <v/>
      </c>
      <c r="P931" s="35" t="n">
        <f aca="false">IF(O931="Yes",ROUND(L931*M931,2),0)</f>
        <v>0</v>
      </c>
      <c r="Q931" s="35" t="n">
        <f aca="false">IF(O931="No",ROUND(L931*M931/2,2),0)</f>
        <v>0</v>
      </c>
      <c r="R931" s="35" t="n">
        <f aca="false">Q931</f>
        <v>0</v>
      </c>
      <c r="S931" s="35" t="n">
        <f aca="false">L931+P931+Q931+R931</f>
        <v>0</v>
      </c>
      <c r="T931" s="34" t="str">
        <f aca="false">IF(A931="","",IFERROR(INDEX(Customers!$B$5:$B$204,MATCH(C931,Customers!$A$5:$A$204,0))&amp;"",""))</f>
        <v/>
      </c>
      <c r="U931" s="38" t="str">
        <f aca="false">IF(A931="","",IF(T931&lt;&gt;"","B2B",IF(AND(O931="Yes",SUMIF($A$5:$A$1004,A931,$L$5:$L$1004)+SUMIF($A$5:$A$1004,A931,$P$5:$P$1004)&gt;100000),"B2CL","B2CS")))</f>
        <v/>
      </c>
      <c r="V931" s="17" t="str">
        <f aca="false">IF(A931="","",TEXT(B931,"mmm-yyyy"))</f>
        <v/>
      </c>
    </row>
    <row r="932" customFormat="false" ht="15" hidden="false" customHeight="true" outlineLevel="0" collapsed="false">
      <c r="A932" s="24"/>
      <c r="B932" s="39"/>
      <c r="C932" s="24"/>
      <c r="D932" s="24"/>
      <c r="E932" s="40"/>
      <c r="F932" s="29"/>
      <c r="G932" s="30"/>
      <c r="H932" s="17" t="str">
        <f aca="false">IF(A932="","",A932&amp;"|"&amp;COUNTIF(A$5:A932,A932))</f>
        <v/>
      </c>
      <c r="I932" s="33" t="str">
        <f aca="false">IF(A932="","",IFERROR(INDEX(Items!$B$5:$B$304,MATCH(D932,Items!$A$5:$A$304,0))&amp;"",""))</f>
        <v/>
      </c>
      <c r="J932" s="34" t="str">
        <f aca="false">IF(A932="","",IFERROR(INDEX(Items!$C$5:$C$304,MATCH(D932,Items!$A$5:$A$304,0))&amp;"",""))</f>
        <v/>
      </c>
      <c r="K932" s="35" t="n">
        <f aca="false">IF(A932="",0,IF(ISNUMBER(F932),F932,IFERROR(INDEX(Items!$D$5:$D$304,MATCH(D932,Items!$A$5:$A$304,0)),0)))</f>
        <v>0</v>
      </c>
      <c r="L932" s="35" t="n">
        <f aca="false">ROUND(N(E932)*K932*(1-N(G932)),2)</f>
        <v>0</v>
      </c>
      <c r="M932" s="36" t="n">
        <f aca="false">IF(A932="",0,IFERROR(INDEX(Items!$E$5:$E$304,MATCH(D932,Items!$A$5:$A$304,0)),0))</f>
        <v>0</v>
      </c>
      <c r="N932" s="37" t="str">
        <f aca="false">IF(A932="","",IFERROR(INDEX(Customers!$E$5:$E$204,MATCH(C932,Customers!$A$5:$A$204,0)),"?"))</f>
        <v/>
      </c>
      <c r="O932" s="38" t="str">
        <f aca="false">IF(A932="","",IF(N932=Settings!$B$17,"No","Yes"))</f>
        <v/>
      </c>
      <c r="P932" s="35" t="n">
        <f aca="false">IF(O932="Yes",ROUND(L932*M932,2),0)</f>
        <v>0</v>
      </c>
      <c r="Q932" s="35" t="n">
        <f aca="false">IF(O932="No",ROUND(L932*M932/2,2),0)</f>
        <v>0</v>
      </c>
      <c r="R932" s="35" t="n">
        <f aca="false">Q932</f>
        <v>0</v>
      </c>
      <c r="S932" s="35" t="n">
        <f aca="false">L932+P932+Q932+R932</f>
        <v>0</v>
      </c>
      <c r="T932" s="34" t="str">
        <f aca="false">IF(A932="","",IFERROR(INDEX(Customers!$B$5:$B$204,MATCH(C932,Customers!$A$5:$A$204,0))&amp;"",""))</f>
        <v/>
      </c>
      <c r="U932" s="38" t="str">
        <f aca="false">IF(A932="","",IF(T932&lt;&gt;"","B2B",IF(AND(O932="Yes",SUMIF($A$5:$A$1004,A932,$L$5:$L$1004)+SUMIF($A$5:$A$1004,A932,$P$5:$P$1004)&gt;100000),"B2CL","B2CS")))</f>
        <v/>
      </c>
      <c r="V932" s="17" t="str">
        <f aca="false">IF(A932="","",TEXT(B932,"mmm-yyyy"))</f>
        <v/>
      </c>
    </row>
    <row r="933" customFormat="false" ht="15" hidden="false" customHeight="true" outlineLevel="0" collapsed="false">
      <c r="A933" s="24"/>
      <c r="B933" s="39"/>
      <c r="C933" s="24"/>
      <c r="D933" s="24"/>
      <c r="E933" s="40"/>
      <c r="F933" s="29"/>
      <c r="G933" s="30"/>
      <c r="H933" s="17" t="str">
        <f aca="false">IF(A933="","",A933&amp;"|"&amp;COUNTIF(A$5:A933,A933))</f>
        <v/>
      </c>
      <c r="I933" s="33" t="str">
        <f aca="false">IF(A933="","",IFERROR(INDEX(Items!$B$5:$B$304,MATCH(D933,Items!$A$5:$A$304,0))&amp;"",""))</f>
        <v/>
      </c>
      <c r="J933" s="34" t="str">
        <f aca="false">IF(A933="","",IFERROR(INDEX(Items!$C$5:$C$304,MATCH(D933,Items!$A$5:$A$304,0))&amp;"",""))</f>
        <v/>
      </c>
      <c r="K933" s="35" t="n">
        <f aca="false">IF(A933="",0,IF(ISNUMBER(F933),F933,IFERROR(INDEX(Items!$D$5:$D$304,MATCH(D933,Items!$A$5:$A$304,0)),0)))</f>
        <v>0</v>
      </c>
      <c r="L933" s="35" t="n">
        <f aca="false">ROUND(N(E933)*K933*(1-N(G933)),2)</f>
        <v>0</v>
      </c>
      <c r="M933" s="36" t="n">
        <f aca="false">IF(A933="",0,IFERROR(INDEX(Items!$E$5:$E$304,MATCH(D933,Items!$A$5:$A$304,0)),0))</f>
        <v>0</v>
      </c>
      <c r="N933" s="37" t="str">
        <f aca="false">IF(A933="","",IFERROR(INDEX(Customers!$E$5:$E$204,MATCH(C933,Customers!$A$5:$A$204,0)),"?"))</f>
        <v/>
      </c>
      <c r="O933" s="38" t="str">
        <f aca="false">IF(A933="","",IF(N933=Settings!$B$17,"No","Yes"))</f>
        <v/>
      </c>
      <c r="P933" s="35" t="n">
        <f aca="false">IF(O933="Yes",ROUND(L933*M933,2),0)</f>
        <v>0</v>
      </c>
      <c r="Q933" s="35" t="n">
        <f aca="false">IF(O933="No",ROUND(L933*M933/2,2),0)</f>
        <v>0</v>
      </c>
      <c r="R933" s="35" t="n">
        <f aca="false">Q933</f>
        <v>0</v>
      </c>
      <c r="S933" s="35" t="n">
        <f aca="false">L933+P933+Q933+R933</f>
        <v>0</v>
      </c>
      <c r="T933" s="34" t="str">
        <f aca="false">IF(A933="","",IFERROR(INDEX(Customers!$B$5:$B$204,MATCH(C933,Customers!$A$5:$A$204,0))&amp;"",""))</f>
        <v/>
      </c>
      <c r="U933" s="38" t="str">
        <f aca="false">IF(A933="","",IF(T933&lt;&gt;"","B2B",IF(AND(O933="Yes",SUMIF($A$5:$A$1004,A933,$L$5:$L$1004)+SUMIF($A$5:$A$1004,A933,$P$5:$P$1004)&gt;100000),"B2CL","B2CS")))</f>
        <v/>
      </c>
      <c r="V933" s="17" t="str">
        <f aca="false">IF(A933="","",TEXT(B933,"mmm-yyyy"))</f>
        <v/>
      </c>
    </row>
    <row r="934" customFormat="false" ht="15" hidden="false" customHeight="true" outlineLevel="0" collapsed="false">
      <c r="A934" s="24"/>
      <c r="B934" s="39"/>
      <c r="C934" s="24"/>
      <c r="D934" s="24"/>
      <c r="E934" s="40"/>
      <c r="F934" s="29"/>
      <c r="G934" s="30"/>
      <c r="H934" s="17" t="str">
        <f aca="false">IF(A934="","",A934&amp;"|"&amp;COUNTIF(A$5:A934,A934))</f>
        <v/>
      </c>
      <c r="I934" s="33" t="str">
        <f aca="false">IF(A934="","",IFERROR(INDEX(Items!$B$5:$B$304,MATCH(D934,Items!$A$5:$A$304,0))&amp;"",""))</f>
        <v/>
      </c>
      <c r="J934" s="34" t="str">
        <f aca="false">IF(A934="","",IFERROR(INDEX(Items!$C$5:$C$304,MATCH(D934,Items!$A$5:$A$304,0))&amp;"",""))</f>
        <v/>
      </c>
      <c r="K934" s="35" t="n">
        <f aca="false">IF(A934="",0,IF(ISNUMBER(F934),F934,IFERROR(INDEX(Items!$D$5:$D$304,MATCH(D934,Items!$A$5:$A$304,0)),0)))</f>
        <v>0</v>
      </c>
      <c r="L934" s="35" t="n">
        <f aca="false">ROUND(N(E934)*K934*(1-N(G934)),2)</f>
        <v>0</v>
      </c>
      <c r="M934" s="36" t="n">
        <f aca="false">IF(A934="",0,IFERROR(INDEX(Items!$E$5:$E$304,MATCH(D934,Items!$A$5:$A$304,0)),0))</f>
        <v>0</v>
      </c>
      <c r="N934" s="37" t="str">
        <f aca="false">IF(A934="","",IFERROR(INDEX(Customers!$E$5:$E$204,MATCH(C934,Customers!$A$5:$A$204,0)),"?"))</f>
        <v/>
      </c>
      <c r="O934" s="38" t="str">
        <f aca="false">IF(A934="","",IF(N934=Settings!$B$17,"No","Yes"))</f>
        <v/>
      </c>
      <c r="P934" s="35" t="n">
        <f aca="false">IF(O934="Yes",ROUND(L934*M934,2),0)</f>
        <v>0</v>
      </c>
      <c r="Q934" s="35" t="n">
        <f aca="false">IF(O934="No",ROUND(L934*M934/2,2),0)</f>
        <v>0</v>
      </c>
      <c r="R934" s="35" t="n">
        <f aca="false">Q934</f>
        <v>0</v>
      </c>
      <c r="S934" s="35" t="n">
        <f aca="false">L934+P934+Q934+R934</f>
        <v>0</v>
      </c>
      <c r="T934" s="34" t="str">
        <f aca="false">IF(A934="","",IFERROR(INDEX(Customers!$B$5:$B$204,MATCH(C934,Customers!$A$5:$A$204,0))&amp;"",""))</f>
        <v/>
      </c>
      <c r="U934" s="38" t="str">
        <f aca="false">IF(A934="","",IF(T934&lt;&gt;"","B2B",IF(AND(O934="Yes",SUMIF($A$5:$A$1004,A934,$L$5:$L$1004)+SUMIF($A$5:$A$1004,A934,$P$5:$P$1004)&gt;100000),"B2CL","B2CS")))</f>
        <v/>
      </c>
      <c r="V934" s="17" t="str">
        <f aca="false">IF(A934="","",TEXT(B934,"mmm-yyyy"))</f>
        <v/>
      </c>
    </row>
    <row r="935" customFormat="false" ht="15" hidden="false" customHeight="true" outlineLevel="0" collapsed="false">
      <c r="A935" s="24"/>
      <c r="B935" s="39"/>
      <c r="C935" s="24"/>
      <c r="D935" s="24"/>
      <c r="E935" s="40"/>
      <c r="F935" s="29"/>
      <c r="G935" s="30"/>
      <c r="H935" s="17" t="str">
        <f aca="false">IF(A935="","",A935&amp;"|"&amp;COUNTIF(A$5:A935,A935))</f>
        <v/>
      </c>
      <c r="I935" s="33" t="str">
        <f aca="false">IF(A935="","",IFERROR(INDEX(Items!$B$5:$B$304,MATCH(D935,Items!$A$5:$A$304,0))&amp;"",""))</f>
        <v/>
      </c>
      <c r="J935" s="34" t="str">
        <f aca="false">IF(A935="","",IFERROR(INDEX(Items!$C$5:$C$304,MATCH(D935,Items!$A$5:$A$304,0))&amp;"",""))</f>
        <v/>
      </c>
      <c r="K935" s="35" t="n">
        <f aca="false">IF(A935="",0,IF(ISNUMBER(F935),F935,IFERROR(INDEX(Items!$D$5:$D$304,MATCH(D935,Items!$A$5:$A$304,0)),0)))</f>
        <v>0</v>
      </c>
      <c r="L935" s="35" t="n">
        <f aca="false">ROUND(N(E935)*K935*(1-N(G935)),2)</f>
        <v>0</v>
      </c>
      <c r="M935" s="36" t="n">
        <f aca="false">IF(A935="",0,IFERROR(INDEX(Items!$E$5:$E$304,MATCH(D935,Items!$A$5:$A$304,0)),0))</f>
        <v>0</v>
      </c>
      <c r="N935" s="37" t="str">
        <f aca="false">IF(A935="","",IFERROR(INDEX(Customers!$E$5:$E$204,MATCH(C935,Customers!$A$5:$A$204,0)),"?"))</f>
        <v/>
      </c>
      <c r="O935" s="38" t="str">
        <f aca="false">IF(A935="","",IF(N935=Settings!$B$17,"No","Yes"))</f>
        <v/>
      </c>
      <c r="P935" s="35" t="n">
        <f aca="false">IF(O935="Yes",ROUND(L935*M935,2),0)</f>
        <v>0</v>
      </c>
      <c r="Q935" s="35" t="n">
        <f aca="false">IF(O935="No",ROUND(L935*M935/2,2),0)</f>
        <v>0</v>
      </c>
      <c r="R935" s="35" t="n">
        <f aca="false">Q935</f>
        <v>0</v>
      </c>
      <c r="S935" s="35" t="n">
        <f aca="false">L935+P935+Q935+R935</f>
        <v>0</v>
      </c>
      <c r="T935" s="34" t="str">
        <f aca="false">IF(A935="","",IFERROR(INDEX(Customers!$B$5:$B$204,MATCH(C935,Customers!$A$5:$A$204,0))&amp;"",""))</f>
        <v/>
      </c>
      <c r="U935" s="38" t="str">
        <f aca="false">IF(A935="","",IF(T935&lt;&gt;"","B2B",IF(AND(O935="Yes",SUMIF($A$5:$A$1004,A935,$L$5:$L$1004)+SUMIF($A$5:$A$1004,A935,$P$5:$P$1004)&gt;100000),"B2CL","B2CS")))</f>
        <v/>
      </c>
      <c r="V935" s="17" t="str">
        <f aca="false">IF(A935="","",TEXT(B935,"mmm-yyyy"))</f>
        <v/>
      </c>
    </row>
    <row r="936" customFormat="false" ht="15" hidden="false" customHeight="true" outlineLevel="0" collapsed="false">
      <c r="A936" s="24"/>
      <c r="B936" s="39"/>
      <c r="C936" s="24"/>
      <c r="D936" s="24"/>
      <c r="E936" s="40"/>
      <c r="F936" s="29"/>
      <c r="G936" s="30"/>
      <c r="H936" s="17" t="str">
        <f aca="false">IF(A936="","",A936&amp;"|"&amp;COUNTIF(A$5:A936,A936))</f>
        <v/>
      </c>
      <c r="I936" s="33" t="str">
        <f aca="false">IF(A936="","",IFERROR(INDEX(Items!$B$5:$B$304,MATCH(D936,Items!$A$5:$A$304,0))&amp;"",""))</f>
        <v/>
      </c>
      <c r="J936" s="34" t="str">
        <f aca="false">IF(A936="","",IFERROR(INDEX(Items!$C$5:$C$304,MATCH(D936,Items!$A$5:$A$304,0))&amp;"",""))</f>
        <v/>
      </c>
      <c r="K936" s="35" t="n">
        <f aca="false">IF(A936="",0,IF(ISNUMBER(F936),F936,IFERROR(INDEX(Items!$D$5:$D$304,MATCH(D936,Items!$A$5:$A$304,0)),0)))</f>
        <v>0</v>
      </c>
      <c r="L936" s="35" t="n">
        <f aca="false">ROUND(N(E936)*K936*(1-N(G936)),2)</f>
        <v>0</v>
      </c>
      <c r="M936" s="36" t="n">
        <f aca="false">IF(A936="",0,IFERROR(INDEX(Items!$E$5:$E$304,MATCH(D936,Items!$A$5:$A$304,0)),0))</f>
        <v>0</v>
      </c>
      <c r="N936" s="37" t="str">
        <f aca="false">IF(A936="","",IFERROR(INDEX(Customers!$E$5:$E$204,MATCH(C936,Customers!$A$5:$A$204,0)),"?"))</f>
        <v/>
      </c>
      <c r="O936" s="38" t="str">
        <f aca="false">IF(A936="","",IF(N936=Settings!$B$17,"No","Yes"))</f>
        <v/>
      </c>
      <c r="P936" s="35" t="n">
        <f aca="false">IF(O936="Yes",ROUND(L936*M936,2),0)</f>
        <v>0</v>
      </c>
      <c r="Q936" s="35" t="n">
        <f aca="false">IF(O936="No",ROUND(L936*M936/2,2),0)</f>
        <v>0</v>
      </c>
      <c r="R936" s="35" t="n">
        <f aca="false">Q936</f>
        <v>0</v>
      </c>
      <c r="S936" s="35" t="n">
        <f aca="false">L936+P936+Q936+R936</f>
        <v>0</v>
      </c>
      <c r="T936" s="34" t="str">
        <f aca="false">IF(A936="","",IFERROR(INDEX(Customers!$B$5:$B$204,MATCH(C936,Customers!$A$5:$A$204,0))&amp;"",""))</f>
        <v/>
      </c>
      <c r="U936" s="38" t="str">
        <f aca="false">IF(A936="","",IF(T936&lt;&gt;"","B2B",IF(AND(O936="Yes",SUMIF($A$5:$A$1004,A936,$L$5:$L$1004)+SUMIF($A$5:$A$1004,A936,$P$5:$P$1004)&gt;100000),"B2CL","B2CS")))</f>
        <v/>
      </c>
      <c r="V936" s="17" t="str">
        <f aca="false">IF(A936="","",TEXT(B936,"mmm-yyyy"))</f>
        <v/>
      </c>
    </row>
    <row r="937" customFormat="false" ht="15" hidden="false" customHeight="true" outlineLevel="0" collapsed="false">
      <c r="A937" s="24"/>
      <c r="B937" s="39"/>
      <c r="C937" s="24"/>
      <c r="D937" s="24"/>
      <c r="E937" s="40"/>
      <c r="F937" s="29"/>
      <c r="G937" s="30"/>
      <c r="H937" s="17" t="str">
        <f aca="false">IF(A937="","",A937&amp;"|"&amp;COUNTIF(A$5:A937,A937))</f>
        <v/>
      </c>
      <c r="I937" s="33" t="str">
        <f aca="false">IF(A937="","",IFERROR(INDEX(Items!$B$5:$B$304,MATCH(D937,Items!$A$5:$A$304,0))&amp;"",""))</f>
        <v/>
      </c>
      <c r="J937" s="34" t="str">
        <f aca="false">IF(A937="","",IFERROR(INDEX(Items!$C$5:$C$304,MATCH(D937,Items!$A$5:$A$304,0))&amp;"",""))</f>
        <v/>
      </c>
      <c r="K937" s="35" t="n">
        <f aca="false">IF(A937="",0,IF(ISNUMBER(F937),F937,IFERROR(INDEX(Items!$D$5:$D$304,MATCH(D937,Items!$A$5:$A$304,0)),0)))</f>
        <v>0</v>
      </c>
      <c r="L937" s="35" t="n">
        <f aca="false">ROUND(N(E937)*K937*(1-N(G937)),2)</f>
        <v>0</v>
      </c>
      <c r="M937" s="36" t="n">
        <f aca="false">IF(A937="",0,IFERROR(INDEX(Items!$E$5:$E$304,MATCH(D937,Items!$A$5:$A$304,0)),0))</f>
        <v>0</v>
      </c>
      <c r="N937" s="37" t="str">
        <f aca="false">IF(A937="","",IFERROR(INDEX(Customers!$E$5:$E$204,MATCH(C937,Customers!$A$5:$A$204,0)),"?"))</f>
        <v/>
      </c>
      <c r="O937" s="38" t="str">
        <f aca="false">IF(A937="","",IF(N937=Settings!$B$17,"No","Yes"))</f>
        <v/>
      </c>
      <c r="P937" s="35" t="n">
        <f aca="false">IF(O937="Yes",ROUND(L937*M937,2),0)</f>
        <v>0</v>
      </c>
      <c r="Q937" s="35" t="n">
        <f aca="false">IF(O937="No",ROUND(L937*M937/2,2),0)</f>
        <v>0</v>
      </c>
      <c r="R937" s="35" t="n">
        <f aca="false">Q937</f>
        <v>0</v>
      </c>
      <c r="S937" s="35" t="n">
        <f aca="false">L937+P937+Q937+R937</f>
        <v>0</v>
      </c>
      <c r="T937" s="34" t="str">
        <f aca="false">IF(A937="","",IFERROR(INDEX(Customers!$B$5:$B$204,MATCH(C937,Customers!$A$5:$A$204,0))&amp;"",""))</f>
        <v/>
      </c>
      <c r="U937" s="38" t="str">
        <f aca="false">IF(A937="","",IF(T937&lt;&gt;"","B2B",IF(AND(O937="Yes",SUMIF($A$5:$A$1004,A937,$L$5:$L$1004)+SUMIF($A$5:$A$1004,A937,$P$5:$P$1004)&gt;100000),"B2CL","B2CS")))</f>
        <v/>
      </c>
      <c r="V937" s="17" t="str">
        <f aca="false">IF(A937="","",TEXT(B937,"mmm-yyyy"))</f>
        <v/>
      </c>
    </row>
    <row r="938" customFormat="false" ht="15" hidden="false" customHeight="true" outlineLevel="0" collapsed="false">
      <c r="A938" s="24"/>
      <c r="B938" s="39"/>
      <c r="C938" s="24"/>
      <c r="D938" s="24"/>
      <c r="E938" s="40"/>
      <c r="F938" s="29"/>
      <c r="G938" s="30"/>
      <c r="H938" s="17" t="str">
        <f aca="false">IF(A938="","",A938&amp;"|"&amp;COUNTIF(A$5:A938,A938))</f>
        <v/>
      </c>
      <c r="I938" s="33" t="str">
        <f aca="false">IF(A938="","",IFERROR(INDEX(Items!$B$5:$B$304,MATCH(D938,Items!$A$5:$A$304,0))&amp;"",""))</f>
        <v/>
      </c>
      <c r="J938" s="34" t="str">
        <f aca="false">IF(A938="","",IFERROR(INDEX(Items!$C$5:$C$304,MATCH(D938,Items!$A$5:$A$304,0))&amp;"",""))</f>
        <v/>
      </c>
      <c r="K938" s="35" t="n">
        <f aca="false">IF(A938="",0,IF(ISNUMBER(F938),F938,IFERROR(INDEX(Items!$D$5:$D$304,MATCH(D938,Items!$A$5:$A$304,0)),0)))</f>
        <v>0</v>
      </c>
      <c r="L938" s="35" t="n">
        <f aca="false">ROUND(N(E938)*K938*(1-N(G938)),2)</f>
        <v>0</v>
      </c>
      <c r="M938" s="36" t="n">
        <f aca="false">IF(A938="",0,IFERROR(INDEX(Items!$E$5:$E$304,MATCH(D938,Items!$A$5:$A$304,0)),0))</f>
        <v>0</v>
      </c>
      <c r="N938" s="37" t="str">
        <f aca="false">IF(A938="","",IFERROR(INDEX(Customers!$E$5:$E$204,MATCH(C938,Customers!$A$5:$A$204,0)),"?"))</f>
        <v/>
      </c>
      <c r="O938" s="38" t="str">
        <f aca="false">IF(A938="","",IF(N938=Settings!$B$17,"No","Yes"))</f>
        <v/>
      </c>
      <c r="P938" s="35" t="n">
        <f aca="false">IF(O938="Yes",ROUND(L938*M938,2),0)</f>
        <v>0</v>
      </c>
      <c r="Q938" s="35" t="n">
        <f aca="false">IF(O938="No",ROUND(L938*M938/2,2),0)</f>
        <v>0</v>
      </c>
      <c r="R938" s="35" t="n">
        <f aca="false">Q938</f>
        <v>0</v>
      </c>
      <c r="S938" s="35" t="n">
        <f aca="false">L938+P938+Q938+R938</f>
        <v>0</v>
      </c>
      <c r="T938" s="34" t="str">
        <f aca="false">IF(A938="","",IFERROR(INDEX(Customers!$B$5:$B$204,MATCH(C938,Customers!$A$5:$A$204,0))&amp;"",""))</f>
        <v/>
      </c>
      <c r="U938" s="38" t="str">
        <f aca="false">IF(A938="","",IF(T938&lt;&gt;"","B2B",IF(AND(O938="Yes",SUMIF($A$5:$A$1004,A938,$L$5:$L$1004)+SUMIF($A$5:$A$1004,A938,$P$5:$P$1004)&gt;100000),"B2CL","B2CS")))</f>
        <v/>
      </c>
      <c r="V938" s="17" t="str">
        <f aca="false">IF(A938="","",TEXT(B938,"mmm-yyyy"))</f>
        <v/>
      </c>
    </row>
    <row r="939" customFormat="false" ht="15" hidden="false" customHeight="true" outlineLevel="0" collapsed="false">
      <c r="A939" s="24"/>
      <c r="B939" s="39"/>
      <c r="C939" s="24"/>
      <c r="D939" s="24"/>
      <c r="E939" s="40"/>
      <c r="F939" s="29"/>
      <c r="G939" s="30"/>
      <c r="H939" s="17" t="str">
        <f aca="false">IF(A939="","",A939&amp;"|"&amp;COUNTIF(A$5:A939,A939))</f>
        <v/>
      </c>
      <c r="I939" s="33" t="str">
        <f aca="false">IF(A939="","",IFERROR(INDEX(Items!$B$5:$B$304,MATCH(D939,Items!$A$5:$A$304,0))&amp;"",""))</f>
        <v/>
      </c>
      <c r="J939" s="34" t="str">
        <f aca="false">IF(A939="","",IFERROR(INDEX(Items!$C$5:$C$304,MATCH(D939,Items!$A$5:$A$304,0))&amp;"",""))</f>
        <v/>
      </c>
      <c r="K939" s="35" t="n">
        <f aca="false">IF(A939="",0,IF(ISNUMBER(F939),F939,IFERROR(INDEX(Items!$D$5:$D$304,MATCH(D939,Items!$A$5:$A$304,0)),0)))</f>
        <v>0</v>
      </c>
      <c r="L939" s="35" t="n">
        <f aca="false">ROUND(N(E939)*K939*(1-N(G939)),2)</f>
        <v>0</v>
      </c>
      <c r="M939" s="36" t="n">
        <f aca="false">IF(A939="",0,IFERROR(INDEX(Items!$E$5:$E$304,MATCH(D939,Items!$A$5:$A$304,0)),0))</f>
        <v>0</v>
      </c>
      <c r="N939" s="37" t="str">
        <f aca="false">IF(A939="","",IFERROR(INDEX(Customers!$E$5:$E$204,MATCH(C939,Customers!$A$5:$A$204,0)),"?"))</f>
        <v/>
      </c>
      <c r="O939" s="38" t="str">
        <f aca="false">IF(A939="","",IF(N939=Settings!$B$17,"No","Yes"))</f>
        <v/>
      </c>
      <c r="P939" s="35" t="n">
        <f aca="false">IF(O939="Yes",ROUND(L939*M939,2),0)</f>
        <v>0</v>
      </c>
      <c r="Q939" s="35" t="n">
        <f aca="false">IF(O939="No",ROUND(L939*M939/2,2),0)</f>
        <v>0</v>
      </c>
      <c r="R939" s="35" t="n">
        <f aca="false">Q939</f>
        <v>0</v>
      </c>
      <c r="S939" s="35" t="n">
        <f aca="false">L939+P939+Q939+R939</f>
        <v>0</v>
      </c>
      <c r="T939" s="34" t="str">
        <f aca="false">IF(A939="","",IFERROR(INDEX(Customers!$B$5:$B$204,MATCH(C939,Customers!$A$5:$A$204,0))&amp;"",""))</f>
        <v/>
      </c>
      <c r="U939" s="38" t="str">
        <f aca="false">IF(A939="","",IF(T939&lt;&gt;"","B2B",IF(AND(O939="Yes",SUMIF($A$5:$A$1004,A939,$L$5:$L$1004)+SUMIF($A$5:$A$1004,A939,$P$5:$P$1004)&gt;100000),"B2CL","B2CS")))</f>
        <v/>
      </c>
      <c r="V939" s="17" t="str">
        <f aca="false">IF(A939="","",TEXT(B939,"mmm-yyyy"))</f>
        <v/>
      </c>
    </row>
    <row r="940" customFormat="false" ht="15" hidden="false" customHeight="true" outlineLevel="0" collapsed="false">
      <c r="A940" s="24"/>
      <c r="B940" s="39"/>
      <c r="C940" s="24"/>
      <c r="D940" s="24"/>
      <c r="E940" s="40"/>
      <c r="F940" s="29"/>
      <c r="G940" s="30"/>
      <c r="H940" s="17" t="str">
        <f aca="false">IF(A940="","",A940&amp;"|"&amp;COUNTIF(A$5:A940,A940))</f>
        <v/>
      </c>
      <c r="I940" s="33" t="str">
        <f aca="false">IF(A940="","",IFERROR(INDEX(Items!$B$5:$B$304,MATCH(D940,Items!$A$5:$A$304,0))&amp;"",""))</f>
        <v/>
      </c>
      <c r="J940" s="34" t="str">
        <f aca="false">IF(A940="","",IFERROR(INDEX(Items!$C$5:$C$304,MATCH(D940,Items!$A$5:$A$304,0))&amp;"",""))</f>
        <v/>
      </c>
      <c r="K940" s="35" t="n">
        <f aca="false">IF(A940="",0,IF(ISNUMBER(F940),F940,IFERROR(INDEX(Items!$D$5:$D$304,MATCH(D940,Items!$A$5:$A$304,0)),0)))</f>
        <v>0</v>
      </c>
      <c r="L940" s="35" t="n">
        <f aca="false">ROUND(N(E940)*K940*(1-N(G940)),2)</f>
        <v>0</v>
      </c>
      <c r="M940" s="36" t="n">
        <f aca="false">IF(A940="",0,IFERROR(INDEX(Items!$E$5:$E$304,MATCH(D940,Items!$A$5:$A$304,0)),0))</f>
        <v>0</v>
      </c>
      <c r="N940" s="37" t="str">
        <f aca="false">IF(A940="","",IFERROR(INDEX(Customers!$E$5:$E$204,MATCH(C940,Customers!$A$5:$A$204,0)),"?"))</f>
        <v/>
      </c>
      <c r="O940" s="38" t="str">
        <f aca="false">IF(A940="","",IF(N940=Settings!$B$17,"No","Yes"))</f>
        <v/>
      </c>
      <c r="P940" s="35" t="n">
        <f aca="false">IF(O940="Yes",ROUND(L940*M940,2),0)</f>
        <v>0</v>
      </c>
      <c r="Q940" s="35" t="n">
        <f aca="false">IF(O940="No",ROUND(L940*M940/2,2),0)</f>
        <v>0</v>
      </c>
      <c r="R940" s="35" t="n">
        <f aca="false">Q940</f>
        <v>0</v>
      </c>
      <c r="S940" s="35" t="n">
        <f aca="false">L940+P940+Q940+R940</f>
        <v>0</v>
      </c>
      <c r="T940" s="34" t="str">
        <f aca="false">IF(A940="","",IFERROR(INDEX(Customers!$B$5:$B$204,MATCH(C940,Customers!$A$5:$A$204,0))&amp;"",""))</f>
        <v/>
      </c>
      <c r="U940" s="38" t="str">
        <f aca="false">IF(A940="","",IF(T940&lt;&gt;"","B2B",IF(AND(O940="Yes",SUMIF($A$5:$A$1004,A940,$L$5:$L$1004)+SUMIF($A$5:$A$1004,A940,$P$5:$P$1004)&gt;100000),"B2CL","B2CS")))</f>
        <v/>
      </c>
      <c r="V940" s="17" t="str">
        <f aca="false">IF(A940="","",TEXT(B940,"mmm-yyyy"))</f>
        <v/>
      </c>
    </row>
    <row r="941" customFormat="false" ht="15" hidden="false" customHeight="true" outlineLevel="0" collapsed="false">
      <c r="A941" s="24"/>
      <c r="B941" s="39"/>
      <c r="C941" s="24"/>
      <c r="D941" s="24"/>
      <c r="E941" s="40"/>
      <c r="F941" s="29"/>
      <c r="G941" s="30"/>
      <c r="H941" s="17" t="str">
        <f aca="false">IF(A941="","",A941&amp;"|"&amp;COUNTIF(A$5:A941,A941))</f>
        <v/>
      </c>
      <c r="I941" s="33" t="str">
        <f aca="false">IF(A941="","",IFERROR(INDEX(Items!$B$5:$B$304,MATCH(D941,Items!$A$5:$A$304,0))&amp;"",""))</f>
        <v/>
      </c>
      <c r="J941" s="34" t="str">
        <f aca="false">IF(A941="","",IFERROR(INDEX(Items!$C$5:$C$304,MATCH(D941,Items!$A$5:$A$304,0))&amp;"",""))</f>
        <v/>
      </c>
      <c r="K941" s="35" t="n">
        <f aca="false">IF(A941="",0,IF(ISNUMBER(F941),F941,IFERROR(INDEX(Items!$D$5:$D$304,MATCH(D941,Items!$A$5:$A$304,0)),0)))</f>
        <v>0</v>
      </c>
      <c r="L941" s="35" t="n">
        <f aca="false">ROUND(N(E941)*K941*(1-N(G941)),2)</f>
        <v>0</v>
      </c>
      <c r="M941" s="36" t="n">
        <f aca="false">IF(A941="",0,IFERROR(INDEX(Items!$E$5:$E$304,MATCH(D941,Items!$A$5:$A$304,0)),0))</f>
        <v>0</v>
      </c>
      <c r="N941" s="37" t="str">
        <f aca="false">IF(A941="","",IFERROR(INDEX(Customers!$E$5:$E$204,MATCH(C941,Customers!$A$5:$A$204,0)),"?"))</f>
        <v/>
      </c>
      <c r="O941" s="38" t="str">
        <f aca="false">IF(A941="","",IF(N941=Settings!$B$17,"No","Yes"))</f>
        <v/>
      </c>
      <c r="P941" s="35" t="n">
        <f aca="false">IF(O941="Yes",ROUND(L941*M941,2),0)</f>
        <v>0</v>
      </c>
      <c r="Q941" s="35" t="n">
        <f aca="false">IF(O941="No",ROUND(L941*M941/2,2),0)</f>
        <v>0</v>
      </c>
      <c r="R941" s="35" t="n">
        <f aca="false">Q941</f>
        <v>0</v>
      </c>
      <c r="S941" s="35" t="n">
        <f aca="false">L941+P941+Q941+R941</f>
        <v>0</v>
      </c>
      <c r="T941" s="34" t="str">
        <f aca="false">IF(A941="","",IFERROR(INDEX(Customers!$B$5:$B$204,MATCH(C941,Customers!$A$5:$A$204,0))&amp;"",""))</f>
        <v/>
      </c>
      <c r="U941" s="38" t="str">
        <f aca="false">IF(A941="","",IF(T941&lt;&gt;"","B2B",IF(AND(O941="Yes",SUMIF($A$5:$A$1004,A941,$L$5:$L$1004)+SUMIF($A$5:$A$1004,A941,$P$5:$P$1004)&gt;100000),"B2CL","B2CS")))</f>
        <v/>
      </c>
      <c r="V941" s="17" t="str">
        <f aca="false">IF(A941="","",TEXT(B941,"mmm-yyyy"))</f>
        <v/>
      </c>
    </row>
    <row r="942" customFormat="false" ht="15" hidden="false" customHeight="true" outlineLevel="0" collapsed="false">
      <c r="A942" s="24"/>
      <c r="B942" s="39"/>
      <c r="C942" s="24"/>
      <c r="D942" s="24"/>
      <c r="E942" s="40"/>
      <c r="F942" s="29"/>
      <c r="G942" s="30"/>
      <c r="H942" s="17" t="str">
        <f aca="false">IF(A942="","",A942&amp;"|"&amp;COUNTIF(A$5:A942,A942))</f>
        <v/>
      </c>
      <c r="I942" s="33" t="str">
        <f aca="false">IF(A942="","",IFERROR(INDEX(Items!$B$5:$B$304,MATCH(D942,Items!$A$5:$A$304,0))&amp;"",""))</f>
        <v/>
      </c>
      <c r="J942" s="34" t="str">
        <f aca="false">IF(A942="","",IFERROR(INDEX(Items!$C$5:$C$304,MATCH(D942,Items!$A$5:$A$304,0))&amp;"",""))</f>
        <v/>
      </c>
      <c r="K942" s="35" t="n">
        <f aca="false">IF(A942="",0,IF(ISNUMBER(F942),F942,IFERROR(INDEX(Items!$D$5:$D$304,MATCH(D942,Items!$A$5:$A$304,0)),0)))</f>
        <v>0</v>
      </c>
      <c r="L942" s="35" t="n">
        <f aca="false">ROUND(N(E942)*K942*(1-N(G942)),2)</f>
        <v>0</v>
      </c>
      <c r="M942" s="36" t="n">
        <f aca="false">IF(A942="",0,IFERROR(INDEX(Items!$E$5:$E$304,MATCH(D942,Items!$A$5:$A$304,0)),0))</f>
        <v>0</v>
      </c>
      <c r="N942" s="37" t="str">
        <f aca="false">IF(A942="","",IFERROR(INDEX(Customers!$E$5:$E$204,MATCH(C942,Customers!$A$5:$A$204,0)),"?"))</f>
        <v/>
      </c>
      <c r="O942" s="38" t="str">
        <f aca="false">IF(A942="","",IF(N942=Settings!$B$17,"No","Yes"))</f>
        <v/>
      </c>
      <c r="P942" s="35" t="n">
        <f aca="false">IF(O942="Yes",ROUND(L942*M942,2),0)</f>
        <v>0</v>
      </c>
      <c r="Q942" s="35" t="n">
        <f aca="false">IF(O942="No",ROUND(L942*M942/2,2),0)</f>
        <v>0</v>
      </c>
      <c r="R942" s="35" t="n">
        <f aca="false">Q942</f>
        <v>0</v>
      </c>
      <c r="S942" s="35" t="n">
        <f aca="false">L942+P942+Q942+R942</f>
        <v>0</v>
      </c>
      <c r="T942" s="34" t="str">
        <f aca="false">IF(A942="","",IFERROR(INDEX(Customers!$B$5:$B$204,MATCH(C942,Customers!$A$5:$A$204,0))&amp;"",""))</f>
        <v/>
      </c>
      <c r="U942" s="38" t="str">
        <f aca="false">IF(A942="","",IF(T942&lt;&gt;"","B2B",IF(AND(O942="Yes",SUMIF($A$5:$A$1004,A942,$L$5:$L$1004)+SUMIF($A$5:$A$1004,A942,$P$5:$P$1004)&gt;100000),"B2CL","B2CS")))</f>
        <v/>
      </c>
      <c r="V942" s="17" t="str">
        <f aca="false">IF(A942="","",TEXT(B942,"mmm-yyyy"))</f>
        <v/>
      </c>
    </row>
    <row r="943" customFormat="false" ht="15" hidden="false" customHeight="true" outlineLevel="0" collapsed="false">
      <c r="A943" s="24"/>
      <c r="B943" s="39"/>
      <c r="C943" s="24"/>
      <c r="D943" s="24"/>
      <c r="E943" s="40"/>
      <c r="F943" s="29"/>
      <c r="G943" s="30"/>
      <c r="H943" s="17" t="str">
        <f aca="false">IF(A943="","",A943&amp;"|"&amp;COUNTIF(A$5:A943,A943))</f>
        <v/>
      </c>
      <c r="I943" s="33" t="str">
        <f aca="false">IF(A943="","",IFERROR(INDEX(Items!$B$5:$B$304,MATCH(D943,Items!$A$5:$A$304,0))&amp;"",""))</f>
        <v/>
      </c>
      <c r="J943" s="34" t="str">
        <f aca="false">IF(A943="","",IFERROR(INDEX(Items!$C$5:$C$304,MATCH(D943,Items!$A$5:$A$304,0))&amp;"",""))</f>
        <v/>
      </c>
      <c r="K943" s="35" t="n">
        <f aca="false">IF(A943="",0,IF(ISNUMBER(F943),F943,IFERROR(INDEX(Items!$D$5:$D$304,MATCH(D943,Items!$A$5:$A$304,0)),0)))</f>
        <v>0</v>
      </c>
      <c r="L943" s="35" t="n">
        <f aca="false">ROUND(N(E943)*K943*(1-N(G943)),2)</f>
        <v>0</v>
      </c>
      <c r="M943" s="36" t="n">
        <f aca="false">IF(A943="",0,IFERROR(INDEX(Items!$E$5:$E$304,MATCH(D943,Items!$A$5:$A$304,0)),0))</f>
        <v>0</v>
      </c>
      <c r="N943" s="37" t="str">
        <f aca="false">IF(A943="","",IFERROR(INDEX(Customers!$E$5:$E$204,MATCH(C943,Customers!$A$5:$A$204,0)),"?"))</f>
        <v/>
      </c>
      <c r="O943" s="38" t="str">
        <f aca="false">IF(A943="","",IF(N943=Settings!$B$17,"No","Yes"))</f>
        <v/>
      </c>
      <c r="P943" s="35" t="n">
        <f aca="false">IF(O943="Yes",ROUND(L943*M943,2),0)</f>
        <v>0</v>
      </c>
      <c r="Q943" s="35" t="n">
        <f aca="false">IF(O943="No",ROUND(L943*M943/2,2),0)</f>
        <v>0</v>
      </c>
      <c r="R943" s="35" t="n">
        <f aca="false">Q943</f>
        <v>0</v>
      </c>
      <c r="S943" s="35" t="n">
        <f aca="false">L943+P943+Q943+R943</f>
        <v>0</v>
      </c>
      <c r="T943" s="34" t="str">
        <f aca="false">IF(A943="","",IFERROR(INDEX(Customers!$B$5:$B$204,MATCH(C943,Customers!$A$5:$A$204,0))&amp;"",""))</f>
        <v/>
      </c>
      <c r="U943" s="38" t="str">
        <f aca="false">IF(A943="","",IF(T943&lt;&gt;"","B2B",IF(AND(O943="Yes",SUMIF($A$5:$A$1004,A943,$L$5:$L$1004)+SUMIF($A$5:$A$1004,A943,$P$5:$P$1004)&gt;100000),"B2CL","B2CS")))</f>
        <v/>
      </c>
      <c r="V943" s="17" t="str">
        <f aca="false">IF(A943="","",TEXT(B943,"mmm-yyyy"))</f>
        <v/>
      </c>
    </row>
    <row r="944" customFormat="false" ht="15" hidden="false" customHeight="true" outlineLevel="0" collapsed="false">
      <c r="A944" s="24"/>
      <c r="B944" s="39"/>
      <c r="C944" s="24"/>
      <c r="D944" s="24"/>
      <c r="E944" s="40"/>
      <c r="F944" s="29"/>
      <c r="G944" s="30"/>
      <c r="H944" s="17" t="str">
        <f aca="false">IF(A944="","",A944&amp;"|"&amp;COUNTIF(A$5:A944,A944))</f>
        <v/>
      </c>
      <c r="I944" s="33" t="str">
        <f aca="false">IF(A944="","",IFERROR(INDEX(Items!$B$5:$B$304,MATCH(D944,Items!$A$5:$A$304,0))&amp;"",""))</f>
        <v/>
      </c>
      <c r="J944" s="34" t="str">
        <f aca="false">IF(A944="","",IFERROR(INDEX(Items!$C$5:$C$304,MATCH(D944,Items!$A$5:$A$304,0))&amp;"",""))</f>
        <v/>
      </c>
      <c r="K944" s="35" t="n">
        <f aca="false">IF(A944="",0,IF(ISNUMBER(F944),F944,IFERROR(INDEX(Items!$D$5:$D$304,MATCH(D944,Items!$A$5:$A$304,0)),0)))</f>
        <v>0</v>
      </c>
      <c r="L944" s="35" t="n">
        <f aca="false">ROUND(N(E944)*K944*(1-N(G944)),2)</f>
        <v>0</v>
      </c>
      <c r="M944" s="36" t="n">
        <f aca="false">IF(A944="",0,IFERROR(INDEX(Items!$E$5:$E$304,MATCH(D944,Items!$A$5:$A$304,0)),0))</f>
        <v>0</v>
      </c>
      <c r="N944" s="37" t="str">
        <f aca="false">IF(A944="","",IFERROR(INDEX(Customers!$E$5:$E$204,MATCH(C944,Customers!$A$5:$A$204,0)),"?"))</f>
        <v/>
      </c>
      <c r="O944" s="38" t="str">
        <f aca="false">IF(A944="","",IF(N944=Settings!$B$17,"No","Yes"))</f>
        <v/>
      </c>
      <c r="P944" s="35" t="n">
        <f aca="false">IF(O944="Yes",ROUND(L944*M944,2),0)</f>
        <v>0</v>
      </c>
      <c r="Q944" s="35" t="n">
        <f aca="false">IF(O944="No",ROUND(L944*M944/2,2),0)</f>
        <v>0</v>
      </c>
      <c r="R944" s="35" t="n">
        <f aca="false">Q944</f>
        <v>0</v>
      </c>
      <c r="S944" s="35" t="n">
        <f aca="false">L944+P944+Q944+R944</f>
        <v>0</v>
      </c>
      <c r="T944" s="34" t="str">
        <f aca="false">IF(A944="","",IFERROR(INDEX(Customers!$B$5:$B$204,MATCH(C944,Customers!$A$5:$A$204,0))&amp;"",""))</f>
        <v/>
      </c>
      <c r="U944" s="38" t="str">
        <f aca="false">IF(A944="","",IF(T944&lt;&gt;"","B2B",IF(AND(O944="Yes",SUMIF($A$5:$A$1004,A944,$L$5:$L$1004)+SUMIF($A$5:$A$1004,A944,$P$5:$P$1004)&gt;100000),"B2CL","B2CS")))</f>
        <v/>
      </c>
      <c r="V944" s="17" t="str">
        <f aca="false">IF(A944="","",TEXT(B944,"mmm-yyyy"))</f>
        <v/>
      </c>
    </row>
    <row r="945" customFormat="false" ht="15" hidden="false" customHeight="true" outlineLevel="0" collapsed="false">
      <c r="A945" s="24"/>
      <c r="B945" s="39"/>
      <c r="C945" s="24"/>
      <c r="D945" s="24"/>
      <c r="E945" s="40"/>
      <c r="F945" s="29"/>
      <c r="G945" s="30"/>
      <c r="H945" s="17" t="str">
        <f aca="false">IF(A945="","",A945&amp;"|"&amp;COUNTIF(A$5:A945,A945))</f>
        <v/>
      </c>
      <c r="I945" s="33" t="str">
        <f aca="false">IF(A945="","",IFERROR(INDEX(Items!$B$5:$B$304,MATCH(D945,Items!$A$5:$A$304,0))&amp;"",""))</f>
        <v/>
      </c>
      <c r="J945" s="34" t="str">
        <f aca="false">IF(A945="","",IFERROR(INDEX(Items!$C$5:$C$304,MATCH(D945,Items!$A$5:$A$304,0))&amp;"",""))</f>
        <v/>
      </c>
      <c r="K945" s="35" t="n">
        <f aca="false">IF(A945="",0,IF(ISNUMBER(F945),F945,IFERROR(INDEX(Items!$D$5:$D$304,MATCH(D945,Items!$A$5:$A$304,0)),0)))</f>
        <v>0</v>
      </c>
      <c r="L945" s="35" t="n">
        <f aca="false">ROUND(N(E945)*K945*(1-N(G945)),2)</f>
        <v>0</v>
      </c>
      <c r="M945" s="36" t="n">
        <f aca="false">IF(A945="",0,IFERROR(INDEX(Items!$E$5:$E$304,MATCH(D945,Items!$A$5:$A$304,0)),0))</f>
        <v>0</v>
      </c>
      <c r="N945" s="37" t="str">
        <f aca="false">IF(A945="","",IFERROR(INDEX(Customers!$E$5:$E$204,MATCH(C945,Customers!$A$5:$A$204,0)),"?"))</f>
        <v/>
      </c>
      <c r="O945" s="38" t="str">
        <f aca="false">IF(A945="","",IF(N945=Settings!$B$17,"No","Yes"))</f>
        <v/>
      </c>
      <c r="P945" s="35" t="n">
        <f aca="false">IF(O945="Yes",ROUND(L945*M945,2),0)</f>
        <v>0</v>
      </c>
      <c r="Q945" s="35" t="n">
        <f aca="false">IF(O945="No",ROUND(L945*M945/2,2),0)</f>
        <v>0</v>
      </c>
      <c r="R945" s="35" t="n">
        <f aca="false">Q945</f>
        <v>0</v>
      </c>
      <c r="S945" s="35" t="n">
        <f aca="false">L945+P945+Q945+R945</f>
        <v>0</v>
      </c>
      <c r="T945" s="34" t="str">
        <f aca="false">IF(A945="","",IFERROR(INDEX(Customers!$B$5:$B$204,MATCH(C945,Customers!$A$5:$A$204,0))&amp;"",""))</f>
        <v/>
      </c>
      <c r="U945" s="38" t="str">
        <f aca="false">IF(A945="","",IF(T945&lt;&gt;"","B2B",IF(AND(O945="Yes",SUMIF($A$5:$A$1004,A945,$L$5:$L$1004)+SUMIF($A$5:$A$1004,A945,$P$5:$P$1004)&gt;100000),"B2CL","B2CS")))</f>
        <v/>
      </c>
      <c r="V945" s="17" t="str">
        <f aca="false">IF(A945="","",TEXT(B945,"mmm-yyyy"))</f>
        <v/>
      </c>
    </row>
    <row r="946" customFormat="false" ht="15" hidden="false" customHeight="true" outlineLevel="0" collapsed="false">
      <c r="A946" s="24"/>
      <c r="B946" s="39"/>
      <c r="C946" s="24"/>
      <c r="D946" s="24"/>
      <c r="E946" s="40"/>
      <c r="F946" s="29"/>
      <c r="G946" s="30"/>
      <c r="H946" s="17" t="str">
        <f aca="false">IF(A946="","",A946&amp;"|"&amp;COUNTIF(A$5:A946,A946))</f>
        <v/>
      </c>
      <c r="I946" s="33" t="str">
        <f aca="false">IF(A946="","",IFERROR(INDEX(Items!$B$5:$B$304,MATCH(D946,Items!$A$5:$A$304,0))&amp;"",""))</f>
        <v/>
      </c>
      <c r="J946" s="34" t="str">
        <f aca="false">IF(A946="","",IFERROR(INDEX(Items!$C$5:$C$304,MATCH(D946,Items!$A$5:$A$304,0))&amp;"",""))</f>
        <v/>
      </c>
      <c r="K946" s="35" t="n">
        <f aca="false">IF(A946="",0,IF(ISNUMBER(F946),F946,IFERROR(INDEX(Items!$D$5:$D$304,MATCH(D946,Items!$A$5:$A$304,0)),0)))</f>
        <v>0</v>
      </c>
      <c r="L946" s="35" t="n">
        <f aca="false">ROUND(N(E946)*K946*(1-N(G946)),2)</f>
        <v>0</v>
      </c>
      <c r="M946" s="36" t="n">
        <f aca="false">IF(A946="",0,IFERROR(INDEX(Items!$E$5:$E$304,MATCH(D946,Items!$A$5:$A$304,0)),0))</f>
        <v>0</v>
      </c>
      <c r="N946" s="37" t="str">
        <f aca="false">IF(A946="","",IFERROR(INDEX(Customers!$E$5:$E$204,MATCH(C946,Customers!$A$5:$A$204,0)),"?"))</f>
        <v/>
      </c>
      <c r="O946" s="38" t="str">
        <f aca="false">IF(A946="","",IF(N946=Settings!$B$17,"No","Yes"))</f>
        <v/>
      </c>
      <c r="P946" s="35" t="n">
        <f aca="false">IF(O946="Yes",ROUND(L946*M946,2),0)</f>
        <v>0</v>
      </c>
      <c r="Q946" s="35" t="n">
        <f aca="false">IF(O946="No",ROUND(L946*M946/2,2),0)</f>
        <v>0</v>
      </c>
      <c r="R946" s="35" t="n">
        <f aca="false">Q946</f>
        <v>0</v>
      </c>
      <c r="S946" s="35" t="n">
        <f aca="false">L946+P946+Q946+R946</f>
        <v>0</v>
      </c>
      <c r="T946" s="34" t="str">
        <f aca="false">IF(A946="","",IFERROR(INDEX(Customers!$B$5:$B$204,MATCH(C946,Customers!$A$5:$A$204,0))&amp;"",""))</f>
        <v/>
      </c>
      <c r="U946" s="38" t="str">
        <f aca="false">IF(A946="","",IF(T946&lt;&gt;"","B2B",IF(AND(O946="Yes",SUMIF($A$5:$A$1004,A946,$L$5:$L$1004)+SUMIF($A$5:$A$1004,A946,$P$5:$P$1004)&gt;100000),"B2CL","B2CS")))</f>
        <v/>
      </c>
      <c r="V946" s="17" t="str">
        <f aca="false">IF(A946="","",TEXT(B946,"mmm-yyyy"))</f>
        <v/>
      </c>
    </row>
    <row r="947" customFormat="false" ht="15" hidden="false" customHeight="true" outlineLevel="0" collapsed="false">
      <c r="A947" s="24"/>
      <c r="B947" s="39"/>
      <c r="C947" s="24"/>
      <c r="D947" s="24"/>
      <c r="E947" s="40"/>
      <c r="F947" s="29"/>
      <c r="G947" s="30"/>
      <c r="H947" s="17" t="str">
        <f aca="false">IF(A947="","",A947&amp;"|"&amp;COUNTIF(A$5:A947,A947))</f>
        <v/>
      </c>
      <c r="I947" s="33" t="str">
        <f aca="false">IF(A947="","",IFERROR(INDEX(Items!$B$5:$B$304,MATCH(D947,Items!$A$5:$A$304,0))&amp;"",""))</f>
        <v/>
      </c>
      <c r="J947" s="34" t="str">
        <f aca="false">IF(A947="","",IFERROR(INDEX(Items!$C$5:$C$304,MATCH(D947,Items!$A$5:$A$304,0))&amp;"",""))</f>
        <v/>
      </c>
      <c r="K947" s="35" t="n">
        <f aca="false">IF(A947="",0,IF(ISNUMBER(F947),F947,IFERROR(INDEX(Items!$D$5:$D$304,MATCH(D947,Items!$A$5:$A$304,0)),0)))</f>
        <v>0</v>
      </c>
      <c r="L947" s="35" t="n">
        <f aca="false">ROUND(N(E947)*K947*(1-N(G947)),2)</f>
        <v>0</v>
      </c>
      <c r="M947" s="36" t="n">
        <f aca="false">IF(A947="",0,IFERROR(INDEX(Items!$E$5:$E$304,MATCH(D947,Items!$A$5:$A$304,0)),0))</f>
        <v>0</v>
      </c>
      <c r="N947" s="37" t="str">
        <f aca="false">IF(A947="","",IFERROR(INDEX(Customers!$E$5:$E$204,MATCH(C947,Customers!$A$5:$A$204,0)),"?"))</f>
        <v/>
      </c>
      <c r="O947" s="38" t="str">
        <f aca="false">IF(A947="","",IF(N947=Settings!$B$17,"No","Yes"))</f>
        <v/>
      </c>
      <c r="P947" s="35" t="n">
        <f aca="false">IF(O947="Yes",ROUND(L947*M947,2),0)</f>
        <v>0</v>
      </c>
      <c r="Q947" s="35" t="n">
        <f aca="false">IF(O947="No",ROUND(L947*M947/2,2),0)</f>
        <v>0</v>
      </c>
      <c r="R947" s="35" t="n">
        <f aca="false">Q947</f>
        <v>0</v>
      </c>
      <c r="S947" s="35" t="n">
        <f aca="false">L947+P947+Q947+R947</f>
        <v>0</v>
      </c>
      <c r="T947" s="34" t="str">
        <f aca="false">IF(A947="","",IFERROR(INDEX(Customers!$B$5:$B$204,MATCH(C947,Customers!$A$5:$A$204,0))&amp;"",""))</f>
        <v/>
      </c>
      <c r="U947" s="38" t="str">
        <f aca="false">IF(A947="","",IF(T947&lt;&gt;"","B2B",IF(AND(O947="Yes",SUMIF($A$5:$A$1004,A947,$L$5:$L$1004)+SUMIF($A$5:$A$1004,A947,$P$5:$P$1004)&gt;100000),"B2CL","B2CS")))</f>
        <v/>
      </c>
      <c r="V947" s="17" t="str">
        <f aca="false">IF(A947="","",TEXT(B947,"mmm-yyyy"))</f>
        <v/>
      </c>
    </row>
    <row r="948" customFormat="false" ht="15" hidden="false" customHeight="true" outlineLevel="0" collapsed="false">
      <c r="A948" s="24"/>
      <c r="B948" s="39"/>
      <c r="C948" s="24"/>
      <c r="D948" s="24"/>
      <c r="E948" s="40"/>
      <c r="F948" s="29"/>
      <c r="G948" s="30"/>
      <c r="H948" s="17" t="str">
        <f aca="false">IF(A948="","",A948&amp;"|"&amp;COUNTIF(A$5:A948,A948))</f>
        <v/>
      </c>
      <c r="I948" s="33" t="str">
        <f aca="false">IF(A948="","",IFERROR(INDEX(Items!$B$5:$B$304,MATCH(D948,Items!$A$5:$A$304,0))&amp;"",""))</f>
        <v/>
      </c>
      <c r="J948" s="34" t="str">
        <f aca="false">IF(A948="","",IFERROR(INDEX(Items!$C$5:$C$304,MATCH(D948,Items!$A$5:$A$304,0))&amp;"",""))</f>
        <v/>
      </c>
      <c r="K948" s="35" t="n">
        <f aca="false">IF(A948="",0,IF(ISNUMBER(F948),F948,IFERROR(INDEX(Items!$D$5:$D$304,MATCH(D948,Items!$A$5:$A$304,0)),0)))</f>
        <v>0</v>
      </c>
      <c r="L948" s="35" t="n">
        <f aca="false">ROUND(N(E948)*K948*(1-N(G948)),2)</f>
        <v>0</v>
      </c>
      <c r="M948" s="36" t="n">
        <f aca="false">IF(A948="",0,IFERROR(INDEX(Items!$E$5:$E$304,MATCH(D948,Items!$A$5:$A$304,0)),0))</f>
        <v>0</v>
      </c>
      <c r="N948" s="37" t="str">
        <f aca="false">IF(A948="","",IFERROR(INDEX(Customers!$E$5:$E$204,MATCH(C948,Customers!$A$5:$A$204,0)),"?"))</f>
        <v/>
      </c>
      <c r="O948" s="38" t="str">
        <f aca="false">IF(A948="","",IF(N948=Settings!$B$17,"No","Yes"))</f>
        <v/>
      </c>
      <c r="P948" s="35" t="n">
        <f aca="false">IF(O948="Yes",ROUND(L948*M948,2),0)</f>
        <v>0</v>
      </c>
      <c r="Q948" s="35" t="n">
        <f aca="false">IF(O948="No",ROUND(L948*M948/2,2),0)</f>
        <v>0</v>
      </c>
      <c r="R948" s="35" t="n">
        <f aca="false">Q948</f>
        <v>0</v>
      </c>
      <c r="S948" s="35" t="n">
        <f aca="false">L948+P948+Q948+R948</f>
        <v>0</v>
      </c>
      <c r="T948" s="34" t="str">
        <f aca="false">IF(A948="","",IFERROR(INDEX(Customers!$B$5:$B$204,MATCH(C948,Customers!$A$5:$A$204,0))&amp;"",""))</f>
        <v/>
      </c>
      <c r="U948" s="38" t="str">
        <f aca="false">IF(A948="","",IF(T948&lt;&gt;"","B2B",IF(AND(O948="Yes",SUMIF($A$5:$A$1004,A948,$L$5:$L$1004)+SUMIF($A$5:$A$1004,A948,$P$5:$P$1004)&gt;100000),"B2CL","B2CS")))</f>
        <v/>
      </c>
      <c r="V948" s="17" t="str">
        <f aca="false">IF(A948="","",TEXT(B948,"mmm-yyyy"))</f>
        <v/>
      </c>
    </row>
    <row r="949" customFormat="false" ht="15" hidden="false" customHeight="true" outlineLevel="0" collapsed="false">
      <c r="A949" s="24"/>
      <c r="B949" s="39"/>
      <c r="C949" s="24"/>
      <c r="D949" s="24"/>
      <c r="E949" s="40"/>
      <c r="F949" s="29"/>
      <c r="G949" s="30"/>
      <c r="H949" s="17" t="str">
        <f aca="false">IF(A949="","",A949&amp;"|"&amp;COUNTIF(A$5:A949,A949))</f>
        <v/>
      </c>
      <c r="I949" s="33" t="str">
        <f aca="false">IF(A949="","",IFERROR(INDEX(Items!$B$5:$B$304,MATCH(D949,Items!$A$5:$A$304,0))&amp;"",""))</f>
        <v/>
      </c>
      <c r="J949" s="34" t="str">
        <f aca="false">IF(A949="","",IFERROR(INDEX(Items!$C$5:$C$304,MATCH(D949,Items!$A$5:$A$304,0))&amp;"",""))</f>
        <v/>
      </c>
      <c r="K949" s="35" t="n">
        <f aca="false">IF(A949="",0,IF(ISNUMBER(F949),F949,IFERROR(INDEX(Items!$D$5:$D$304,MATCH(D949,Items!$A$5:$A$304,0)),0)))</f>
        <v>0</v>
      </c>
      <c r="L949" s="35" t="n">
        <f aca="false">ROUND(N(E949)*K949*(1-N(G949)),2)</f>
        <v>0</v>
      </c>
      <c r="M949" s="36" t="n">
        <f aca="false">IF(A949="",0,IFERROR(INDEX(Items!$E$5:$E$304,MATCH(D949,Items!$A$5:$A$304,0)),0))</f>
        <v>0</v>
      </c>
      <c r="N949" s="37" t="str">
        <f aca="false">IF(A949="","",IFERROR(INDEX(Customers!$E$5:$E$204,MATCH(C949,Customers!$A$5:$A$204,0)),"?"))</f>
        <v/>
      </c>
      <c r="O949" s="38" t="str">
        <f aca="false">IF(A949="","",IF(N949=Settings!$B$17,"No","Yes"))</f>
        <v/>
      </c>
      <c r="P949" s="35" t="n">
        <f aca="false">IF(O949="Yes",ROUND(L949*M949,2),0)</f>
        <v>0</v>
      </c>
      <c r="Q949" s="35" t="n">
        <f aca="false">IF(O949="No",ROUND(L949*M949/2,2),0)</f>
        <v>0</v>
      </c>
      <c r="R949" s="35" t="n">
        <f aca="false">Q949</f>
        <v>0</v>
      </c>
      <c r="S949" s="35" t="n">
        <f aca="false">L949+P949+Q949+R949</f>
        <v>0</v>
      </c>
      <c r="T949" s="34" t="str">
        <f aca="false">IF(A949="","",IFERROR(INDEX(Customers!$B$5:$B$204,MATCH(C949,Customers!$A$5:$A$204,0))&amp;"",""))</f>
        <v/>
      </c>
      <c r="U949" s="38" t="str">
        <f aca="false">IF(A949="","",IF(T949&lt;&gt;"","B2B",IF(AND(O949="Yes",SUMIF($A$5:$A$1004,A949,$L$5:$L$1004)+SUMIF($A$5:$A$1004,A949,$P$5:$P$1004)&gt;100000),"B2CL","B2CS")))</f>
        <v/>
      </c>
      <c r="V949" s="17" t="str">
        <f aca="false">IF(A949="","",TEXT(B949,"mmm-yyyy"))</f>
        <v/>
      </c>
    </row>
    <row r="950" customFormat="false" ht="15" hidden="false" customHeight="true" outlineLevel="0" collapsed="false">
      <c r="A950" s="24"/>
      <c r="B950" s="39"/>
      <c r="C950" s="24"/>
      <c r="D950" s="24"/>
      <c r="E950" s="40"/>
      <c r="F950" s="29"/>
      <c r="G950" s="30"/>
      <c r="H950" s="17" t="str">
        <f aca="false">IF(A950="","",A950&amp;"|"&amp;COUNTIF(A$5:A950,A950))</f>
        <v/>
      </c>
      <c r="I950" s="33" t="str">
        <f aca="false">IF(A950="","",IFERROR(INDEX(Items!$B$5:$B$304,MATCH(D950,Items!$A$5:$A$304,0))&amp;"",""))</f>
        <v/>
      </c>
      <c r="J950" s="34" t="str">
        <f aca="false">IF(A950="","",IFERROR(INDEX(Items!$C$5:$C$304,MATCH(D950,Items!$A$5:$A$304,0))&amp;"",""))</f>
        <v/>
      </c>
      <c r="K950" s="35" t="n">
        <f aca="false">IF(A950="",0,IF(ISNUMBER(F950),F950,IFERROR(INDEX(Items!$D$5:$D$304,MATCH(D950,Items!$A$5:$A$304,0)),0)))</f>
        <v>0</v>
      </c>
      <c r="L950" s="35" t="n">
        <f aca="false">ROUND(N(E950)*K950*(1-N(G950)),2)</f>
        <v>0</v>
      </c>
      <c r="M950" s="36" t="n">
        <f aca="false">IF(A950="",0,IFERROR(INDEX(Items!$E$5:$E$304,MATCH(D950,Items!$A$5:$A$304,0)),0))</f>
        <v>0</v>
      </c>
      <c r="N950" s="37" t="str">
        <f aca="false">IF(A950="","",IFERROR(INDEX(Customers!$E$5:$E$204,MATCH(C950,Customers!$A$5:$A$204,0)),"?"))</f>
        <v/>
      </c>
      <c r="O950" s="38" t="str">
        <f aca="false">IF(A950="","",IF(N950=Settings!$B$17,"No","Yes"))</f>
        <v/>
      </c>
      <c r="P950" s="35" t="n">
        <f aca="false">IF(O950="Yes",ROUND(L950*M950,2),0)</f>
        <v>0</v>
      </c>
      <c r="Q950" s="35" t="n">
        <f aca="false">IF(O950="No",ROUND(L950*M950/2,2),0)</f>
        <v>0</v>
      </c>
      <c r="R950" s="35" t="n">
        <f aca="false">Q950</f>
        <v>0</v>
      </c>
      <c r="S950" s="35" t="n">
        <f aca="false">L950+P950+Q950+R950</f>
        <v>0</v>
      </c>
      <c r="T950" s="34" t="str">
        <f aca="false">IF(A950="","",IFERROR(INDEX(Customers!$B$5:$B$204,MATCH(C950,Customers!$A$5:$A$204,0))&amp;"",""))</f>
        <v/>
      </c>
      <c r="U950" s="38" t="str">
        <f aca="false">IF(A950="","",IF(T950&lt;&gt;"","B2B",IF(AND(O950="Yes",SUMIF($A$5:$A$1004,A950,$L$5:$L$1004)+SUMIF($A$5:$A$1004,A950,$P$5:$P$1004)&gt;100000),"B2CL","B2CS")))</f>
        <v/>
      </c>
      <c r="V950" s="17" t="str">
        <f aca="false">IF(A950="","",TEXT(B950,"mmm-yyyy"))</f>
        <v/>
      </c>
    </row>
    <row r="951" customFormat="false" ht="15" hidden="false" customHeight="true" outlineLevel="0" collapsed="false">
      <c r="A951" s="24"/>
      <c r="B951" s="39"/>
      <c r="C951" s="24"/>
      <c r="D951" s="24"/>
      <c r="E951" s="40"/>
      <c r="F951" s="29"/>
      <c r="G951" s="30"/>
      <c r="H951" s="17" t="str">
        <f aca="false">IF(A951="","",A951&amp;"|"&amp;COUNTIF(A$5:A951,A951))</f>
        <v/>
      </c>
      <c r="I951" s="33" t="str">
        <f aca="false">IF(A951="","",IFERROR(INDEX(Items!$B$5:$B$304,MATCH(D951,Items!$A$5:$A$304,0))&amp;"",""))</f>
        <v/>
      </c>
      <c r="J951" s="34" t="str">
        <f aca="false">IF(A951="","",IFERROR(INDEX(Items!$C$5:$C$304,MATCH(D951,Items!$A$5:$A$304,0))&amp;"",""))</f>
        <v/>
      </c>
      <c r="K951" s="35" t="n">
        <f aca="false">IF(A951="",0,IF(ISNUMBER(F951),F951,IFERROR(INDEX(Items!$D$5:$D$304,MATCH(D951,Items!$A$5:$A$304,0)),0)))</f>
        <v>0</v>
      </c>
      <c r="L951" s="35" t="n">
        <f aca="false">ROUND(N(E951)*K951*(1-N(G951)),2)</f>
        <v>0</v>
      </c>
      <c r="M951" s="36" t="n">
        <f aca="false">IF(A951="",0,IFERROR(INDEX(Items!$E$5:$E$304,MATCH(D951,Items!$A$5:$A$304,0)),0))</f>
        <v>0</v>
      </c>
      <c r="N951" s="37" t="str">
        <f aca="false">IF(A951="","",IFERROR(INDEX(Customers!$E$5:$E$204,MATCH(C951,Customers!$A$5:$A$204,0)),"?"))</f>
        <v/>
      </c>
      <c r="O951" s="38" t="str">
        <f aca="false">IF(A951="","",IF(N951=Settings!$B$17,"No","Yes"))</f>
        <v/>
      </c>
      <c r="P951" s="35" t="n">
        <f aca="false">IF(O951="Yes",ROUND(L951*M951,2),0)</f>
        <v>0</v>
      </c>
      <c r="Q951" s="35" t="n">
        <f aca="false">IF(O951="No",ROUND(L951*M951/2,2),0)</f>
        <v>0</v>
      </c>
      <c r="R951" s="35" t="n">
        <f aca="false">Q951</f>
        <v>0</v>
      </c>
      <c r="S951" s="35" t="n">
        <f aca="false">L951+P951+Q951+R951</f>
        <v>0</v>
      </c>
      <c r="T951" s="34" t="str">
        <f aca="false">IF(A951="","",IFERROR(INDEX(Customers!$B$5:$B$204,MATCH(C951,Customers!$A$5:$A$204,0))&amp;"",""))</f>
        <v/>
      </c>
      <c r="U951" s="38" t="str">
        <f aca="false">IF(A951="","",IF(T951&lt;&gt;"","B2B",IF(AND(O951="Yes",SUMIF($A$5:$A$1004,A951,$L$5:$L$1004)+SUMIF($A$5:$A$1004,A951,$P$5:$P$1004)&gt;100000),"B2CL","B2CS")))</f>
        <v/>
      </c>
      <c r="V951" s="17" t="str">
        <f aca="false">IF(A951="","",TEXT(B951,"mmm-yyyy"))</f>
        <v/>
      </c>
    </row>
    <row r="952" customFormat="false" ht="15" hidden="false" customHeight="true" outlineLevel="0" collapsed="false">
      <c r="A952" s="24"/>
      <c r="B952" s="39"/>
      <c r="C952" s="24"/>
      <c r="D952" s="24"/>
      <c r="E952" s="40"/>
      <c r="F952" s="29"/>
      <c r="G952" s="30"/>
      <c r="H952" s="17" t="str">
        <f aca="false">IF(A952="","",A952&amp;"|"&amp;COUNTIF(A$5:A952,A952))</f>
        <v/>
      </c>
      <c r="I952" s="33" t="str">
        <f aca="false">IF(A952="","",IFERROR(INDEX(Items!$B$5:$B$304,MATCH(D952,Items!$A$5:$A$304,0))&amp;"",""))</f>
        <v/>
      </c>
      <c r="J952" s="34" t="str">
        <f aca="false">IF(A952="","",IFERROR(INDEX(Items!$C$5:$C$304,MATCH(D952,Items!$A$5:$A$304,0))&amp;"",""))</f>
        <v/>
      </c>
      <c r="K952" s="35" t="n">
        <f aca="false">IF(A952="",0,IF(ISNUMBER(F952),F952,IFERROR(INDEX(Items!$D$5:$D$304,MATCH(D952,Items!$A$5:$A$304,0)),0)))</f>
        <v>0</v>
      </c>
      <c r="L952" s="35" t="n">
        <f aca="false">ROUND(N(E952)*K952*(1-N(G952)),2)</f>
        <v>0</v>
      </c>
      <c r="M952" s="36" t="n">
        <f aca="false">IF(A952="",0,IFERROR(INDEX(Items!$E$5:$E$304,MATCH(D952,Items!$A$5:$A$304,0)),0))</f>
        <v>0</v>
      </c>
      <c r="N952" s="37" t="str">
        <f aca="false">IF(A952="","",IFERROR(INDEX(Customers!$E$5:$E$204,MATCH(C952,Customers!$A$5:$A$204,0)),"?"))</f>
        <v/>
      </c>
      <c r="O952" s="38" t="str">
        <f aca="false">IF(A952="","",IF(N952=Settings!$B$17,"No","Yes"))</f>
        <v/>
      </c>
      <c r="P952" s="35" t="n">
        <f aca="false">IF(O952="Yes",ROUND(L952*M952,2),0)</f>
        <v>0</v>
      </c>
      <c r="Q952" s="35" t="n">
        <f aca="false">IF(O952="No",ROUND(L952*M952/2,2),0)</f>
        <v>0</v>
      </c>
      <c r="R952" s="35" t="n">
        <f aca="false">Q952</f>
        <v>0</v>
      </c>
      <c r="S952" s="35" t="n">
        <f aca="false">L952+P952+Q952+R952</f>
        <v>0</v>
      </c>
      <c r="T952" s="34" t="str">
        <f aca="false">IF(A952="","",IFERROR(INDEX(Customers!$B$5:$B$204,MATCH(C952,Customers!$A$5:$A$204,0))&amp;"",""))</f>
        <v/>
      </c>
      <c r="U952" s="38" t="str">
        <f aca="false">IF(A952="","",IF(T952&lt;&gt;"","B2B",IF(AND(O952="Yes",SUMIF($A$5:$A$1004,A952,$L$5:$L$1004)+SUMIF($A$5:$A$1004,A952,$P$5:$P$1004)&gt;100000),"B2CL","B2CS")))</f>
        <v/>
      </c>
      <c r="V952" s="17" t="str">
        <f aca="false">IF(A952="","",TEXT(B952,"mmm-yyyy"))</f>
        <v/>
      </c>
    </row>
    <row r="953" customFormat="false" ht="15" hidden="false" customHeight="true" outlineLevel="0" collapsed="false">
      <c r="A953" s="24"/>
      <c r="B953" s="39"/>
      <c r="C953" s="24"/>
      <c r="D953" s="24"/>
      <c r="E953" s="40"/>
      <c r="F953" s="29"/>
      <c r="G953" s="30"/>
      <c r="H953" s="17" t="str">
        <f aca="false">IF(A953="","",A953&amp;"|"&amp;COUNTIF(A$5:A953,A953))</f>
        <v/>
      </c>
      <c r="I953" s="33" t="str">
        <f aca="false">IF(A953="","",IFERROR(INDEX(Items!$B$5:$B$304,MATCH(D953,Items!$A$5:$A$304,0))&amp;"",""))</f>
        <v/>
      </c>
      <c r="J953" s="34" t="str">
        <f aca="false">IF(A953="","",IFERROR(INDEX(Items!$C$5:$C$304,MATCH(D953,Items!$A$5:$A$304,0))&amp;"",""))</f>
        <v/>
      </c>
      <c r="K953" s="35" t="n">
        <f aca="false">IF(A953="",0,IF(ISNUMBER(F953),F953,IFERROR(INDEX(Items!$D$5:$D$304,MATCH(D953,Items!$A$5:$A$304,0)),0)))</f>
        <v>0</v>
      </c>
      <c r="L953" s="35" t="n">
        <f aca="false">ROUND(N(E953)*K953*(1-N(G953)),2)</f>
        <v>0</v>
      </c>
      <c r="M953" s="36" t="n">
        <f aca="false">IF(A953="",0,IFERROR(INDEX(Items!$E$5:$E$304,MATCH(D953,Items!$A$5:$A$304,0)),0))</f>
        <v>0</v>
      </c>
      <c r="N953" s="37" t="str">
        <f aca="false">IF(A953="","",IFERROR(INDEX(Customers!$E$5:$E$204,MATCH(C953,Customers!$A$5:$A$204,0)),"?"))</f>
        <v/>
      </c>
      <c r="O953" s="38" t="str">
        <f aca="false">IF(A953="","",IF(N953=Settings!$B$17,"No","Yes"))</f>
        <v/>
      </c>
      <c r="P953" s="35" t="n">
        <f aca="false">IF(O953="Yes",ROUND(L953*M953,2),0)</f>
        <v>0</v>
      </c>
      <c r="Q953" s="35" t="n">
        <f aca="false">IF(O953="No",ROUND(L953*M953/2,2),0)</f>
        <v>0</v>
      </c>
      <c r="R953" s="35" t="n">
        <f aca="false">Q953</f>
        <v>0</v>
      </c>
      <c r="S953" s="35" t="n">
        <f aca="false">L953+P953+Q953+R953</f>
        <v>0</v>
      </c>
      <c r="T953" s="34" t="str">
        <f aca="false">IF(A953="","",IFERROR(INDEX(Customers!$B$5:$B$204,MATCH(C953,Customers!$A$5:$A$204,0))&amp;"",""))</f>
        <v/>
      </c>
      <c r="U953" s="38" t="str">
        <f aca="false">IF(A953="","",IF(T953&lt;&gt;"","B2B",IF(AND(O953="Yes",SUMIF($A$5:$A$1004,A953,$L$5:$L$1004)+SUMIF($A$5:$A$1004,A953,$P$5:$P$1004)&gt;100000),"B2CL","B2CS")))</f>
        <v/>
      </c>
      <c r="V953" s="17" t="str">
        <f aca="false">IF(A953="","",TEXT(B953,"mmm-yyyy"))</f>
        <v/>
      </c>
    </row>
    <row r="954" customFormat="false" ht="15" hidden="false" customHeight="true" outlineLevel="0" collapsed="false">
      <c r="A954" s="24"/>
      <c r="B954" s="39"/>
      <c r="C954" s="24"/>
      <c r="D954" s="24"/>
      <c r="E954" s="40"/>
      <c r="F954" s="29"/>
      <c r="G954" s="30"/>
      <c r="H954" s="17" t="str">
        <f aca="false">IF(A954="","",A954&amp;"|"&amp;COUNTIF(A$5:A954,A954))</f>
        <v/>
      </c>
      <c r="I954" s="33" t="str">
        <f aca="false">IF(A954="","",IFERROR(INDEX(Items!$B$5:$B$304,MATCH(D954,Items!$A$5:$A$304,0))&amp;"",""))</f>
        <v/>
      </c>
      <c r="J954" s="34" t="str">
        <f aca="false">IF(A954="","",IFERROR(INDEX(Items!$C$5:$C$304,MATCH(D954,Items!$A$5:$A$304,0))&amp;"",""))</f>
        <v/>
      </c>
      <c r="K954" s="35" t="n">
        <f aca="false">IF(A954="",0,IF(ISNUMBER(F954),F954,IFERROR(INDEX(Items!$D$5:$D$304,MATCH(D954,Items!$A$5:$A$304,0)),0)))</f>
        <v>0</v>
      </c>
      <c r="L954" s="35" t="n">
        <f aca="false">ROUND(N(E954)*K954*(1-N(G954)),2)</f>
        <v>0</v>
      </c>
      <c r="M954" s="36" t="n">
        <f aca="false">IF(A954="",0,IFERROR(INDEX(Items!$E$5:$E$304,MATCH(D954,Items!$A$5:$A$304,0)),0))</f>
        <v>0</v>
      </c>
      <c r="N954" s="37" t="str">
        <f aca="false">IF(A954="","",IFERROR(INDEX(Customers!$E$5:$E$204,MATCH(C954,Customers!$A$5:$A$204,0)),"?"))</f>
        <v/>
      </c>
      <c r="O954" s="38" t="str">
        <f aca="false">IF(A954="","",IF(N954=Settings!$B$17,"No","Yes"))</f>
        <v/>
      </c>
      <c r="P954" s="35" t="n">
        <f aca="false">IF(O954="Yes",ROUND(L954*M954,2),0)</f>
        <v>0</v>
      </c>
      <c r="Q954" s="35" t="n">
        <f aca="false">IF(O954="No",ROUND(L954*M954/2,2),0)</f>
        <v>0</v>
      </c>
      <c r="R954" s="35" t="n">
        <f aca="false">Q954</f>
        <v>0</v>
      </c>
      <c r="S954" s="35" t="n">
        <f aca="false">L954+P954+Q954+R954</f>
        <v>0</v>
      </c>
      <c r="T954" s="34" t="str">
        <f aca="false">IF(A954="","",IFERROR(INDEX(Customers!$B$5:$B$204,MATCH(C954,Customers!$A$5:$A$204,0))&amp;"",""))</f>
        <v/>
      </c>
      <c r="U954" s="38" t="str">
        <f aca="false">IF(A954="","",IF(T954&lt;&gt;"","B2B",IF(AND(O954="Yes",SUMIF($A$5:$A$1004,A954,$L$5:$L$1004)+SUMIF($A$5:$A$1004,A954,$P$5:$P$1004)&gt;100000),"B2CL","B2CS")))</f>
        <v/>
      </c>
      <c r="V954" s="17" t="str">
        <f aca="false">IF(A954="","",TEXT(B954,"mmm-yyyy"))</f>
        <v/>
      </c>
    </row>
    <row r="955" customFormat="false" ht="15" hidden="false" customHeight="true" outlineLevel="0" collapsed="false">
      <c r="A955" s="24"/>
      <c r="B955" s="39"/>
      <c r="C955" s="24"/>
      <c r="D955" s="24"/>
      <c r="E955" s="40"/>
      <c r="F955" s="29"/>
      <c r="G955" s="30"/>
      <c r="H955" s="17" t="str">
        <f aca="false">IF(A955="","",A955&amp;"|"&amp;COUNTIF(A$5:A955,A955))</f>
        <v/>
      </c>
      <c r="I955" s="33" t="str">
        <f aca="false">IF(A955="","",IFERROR(INDEX(Items!$B$5:$B$304,MATCH(D955,Items!$A$5:$A$304,0))&amp;"",""))</f>
        <v/>
      </c>
      <c r="J955" s="34" t="str">
        <f aca="false">IF(A955="","",IFERROR(INDEX(Items!$C$5:$C$304,MATCH(D955,Items!$A$5:$A$304,0))&amp;"",""))</f>
        <v/>
      </c>
      <c r="K955" s="35" t="n">
        <f aca="false">IF(A955="",0,IF(ISNUMBER(F955),F955,IFERROR(INDEX(Items!$D$5:$D$304,MATCH(D955,Items!$A$5:$A$304,0)),0)))</f>
        <v>0</v>
      </c>
      <c r="L955" s="35" t="n">
        <f aca="false">ROUND(N(E955)*K955*(1-N(G955)),2)</f>
        <v>0</v>
      </c>
      <c r="M955" s="36" t="n">
        <f aca="false">IF(A955="",0,IFERROR(INDEX(Items!$E$5:$E$304,MATCH(D955,Items!$A$5:$A$304,0)),0))</f>
        <v>0</v>
      </c>
      <c r="N955" s="37" t="str">
        <f aca="false">IF(A955="","",IFERROR(INDEX(Customers!$E$5:$E$204,MATCH(C955,Customers!$A$5:$A$204,0)),"?"))</f>
        <v/>
      </c>
      <c r="O955" s="38" t="str">
        <f aca="false">IF(A955="","",IF(N955=Settings!$B$17,"No","Yes"))</f>
        <v/>
      </c>
      <c r="P955" s="35" t="n">
        <f aca="false">IF(O955="Yes",ROUND(L955*M955,2),0)</f>
        <v>0</v>
      </c>
      <c r="Q955" s="35" t="n">
        <f aca="false">IF(O955="No",ROUND(L955*M955/2,2),0)</f>
        <v>0</v>
      </c>
      <c r="R955" s="35" t="n">
        <f aca="false">Q955</f>
        <v>0</v>
      </c>
      <c r="S955" s="35" t="n">
        <f aca="false">L955+P955+Q955+R955</f>
        <v>0</v>
      </c>
      <c r="T955" s="34" t="str">
        <f aca="false">IF(A955="","",IFERROR(INDEX(Customers!$B$5:$B$204,MATCH(C955,Customers!$A$5:$A$204,0))&amp;"",""))</f>
        <v/>
      </c>
      <c r="U955" s="38" t="str">
        <f aca="false">IF(A955="","",IF(T955&lt;&gt;"","B2B",IF(AND(O955="Yes",SUMIF($A$5:$A$1004,A955,$L$5:$L$1004)+SUMIF($A$5:$A$1004,A955,$P$5:$P$1004)&gt;100000),"B2CL","B2CS")))</f>
        <v/>
      </c>
      <c r="V955" s="17" t="str">
        <f aca="false">IF(A955="","",TEXT(B955,"mmm-yyyy"))</f>
        <v/>
      </c>
    </row>
    <row r="956" customFormat="false" ht="15" hidden="false" customHeight="true" outlineLevel="0" collapsed="false">
      <c r="A956" s="24"/>
      <c r="B956" s="39"/>
      <c r="C956" s="24"/>
      <c r="D956" s="24"/>
      <c r="E956" s="40"/>
      <c r="F956" s="29"/>
      <c r="G956" s="30"/>
      <c r="H956" s="17" t="str">
        <f aca="false">IF(A956="","",A956&amp;"|"&amp;COUNTIF(A$5:A956,A956))</f>
        <v/>
      </c>
      <c r="I956" s="33" t="str">
        <f aca="false">IF(A956="","",IFERROR(INDEX(Items!$B$5:$B$304,MATCH(D956,Items!$A$5:$A$304,0))&amp;"",""))</f>
        <v/>
      </c>
      <c r="J956" s="34" t="str">
        <f aca="false">IF(A956="","",IFERROR(INDEX(Items!$C$5:$C$304,MATCH(D956,Items!$A$5:$A$304,0))&amp;"",""))</f>
        <v/>
      </c>
      <c r="K956" s="35" t="n">
        <f aca="false">IF(A956="",0,IF(ISNUMBER(F956),F956,IFERROR(INDEX(Items!$D$5:$D$304,MATCH(D956,Items!$A$5:$A$304,0)),0)))</f>
        <v>0</v>
      </c>
      <c r="L956" s="35" t="n">
        <f aca="false">ROUND(N(E956)*K956*(1-N(G956)),2)</f>
        <v>0</v>
      </c>
      <c r="M956" s="36" t="n">
        <f aca="false">IF(A956="",0,IFERROR(INDEX(Items!$E$5:$E$304,MATCH(D956,Items!$A$5:$A$304,0)),0))</f>
        <v>0</v>
      </c>
      <c r="N956" s="37" t="str">
        <f aca="false">IF(A956="","",IFERROR(INDEX(Customers!$E$5:$E$204,MATCH(C956,Customers!$A$5:$A$204,0)),"?"))</f>
        <v/>
      </c>
      <c r="O956" s="38" t="str">
        <f aca="false">IF(A956="","",IF(N956=Settings!$B$17,"No","Yes"))</f>
        <v/>
      </c>
      <c r="P956" s="35" t="n">
        <f aca="false">IF(O956="Yes",ROUND(L956*M956,2),0)</f>
        <v>0</v>
      </c>
      <c r="Q956" s="35" t="n">
        <f aca="false">IF(O956="No",ROUND(L956*M956/2,2),0)</f>
        <v>0</v>
      </c>
      <c r="R956" s="35" t="n">
        <f aca="false">Q956</f>
        <v>0</v>
      </c>
      <c r="S956" s="35" t="n">
        <f aca="false">L956+P956+Q956+R956</f>
        <v>0</v>
      </c>
      <c r="T956" s="34" t="str">
        <f aca="false">IF(A956="","",IFERROR(INDEX(Customers!$B$5:$B$204,MATCH(C956,Customers!$A$5:$A$204,0))&amp;"",""))</f>
        <v/>
      </c>
      <c r="U956" s="38" t="str">
        <f aca="false">IF(A956="","",IF(T956&lt;&gt;"","B2B",IF(AND(O956="Yes",SUMIF($A$5:$A$1004,A956,$L$5:$L$1004)+SUMIF($A$5:$A$1004,A956,$P$5:$P$1004)&gt;100000),"B2CL","B2CS")))</f>
        <v/>
      </c>
      <c r="V956" s="17" t="str">
        <f aca="false">IF(A956="","",TEXT(B956,"mmm-yyyy"))</f>
        <v/>
      </c>
    </row>
    <row r="957" customFormat="false" ht="15" hidden="false" customHeight="true" outlineLevel="0" collapsed="false">
      <c r="A957" s="24"/>
      <c r="B957" s="39"/>
      <c r="C957" s="24"/>
      <c r="D957" s="24"/>
      <c r="E957" s="40"/>
      <c r="F957" s="29"/>
      <c r="G957" s="30"/>
      <c r="H957" s="17" t="str">
        <f aca="false">IF(A957="","",A957&amp;"|"&amp;COUNTIF(A$5:A957,A957))</f>
        <v/>
      </c>
      <c r="I957" s="33" t="str">
        <f aca="false">IF(A957="","",IFERROR(INDEX(Items!$B$5:$B$304,MATCH(D957,Items!$A$5:$A$304,0))&amp;"",""))</f>
        <v/>
      </c>
      <c r="J957" s="34" t="str">
        <f aca="false">IF(A957="","",IFERROR(INDEX(Items!$C$5:$C$304,MATCH(D957,Items!$A$5:$A$304,0))&amp;"",""))</f>
        <v/>
      </c>
      <c r="K957" s="35" t="n">
        <f aca="false">IF(A957="",0,IF(ISNUMBER(F957),F957,IFERROR(INDEX(Items!$D$5:$D$304,MATCH(D957,Items!$A$5:$A$304,0)),0)))</f>
        <v>0</v>
      </c>
      <c r="L957" s="35" t="n">
        <f aca="false">ROUND(N(E957)*K957*(1-N(G957)),2)</f>
        <v>0</v>
      </c>
      <c r="M957" s="36" t="n">
        <f aca="false">IF(A957="",0,IFERROR(INDEX(Items!$E$5:$E$304,MATCH(D957,Items!$A$5:$A$304,0)),0))</f>
        <v>0</v>
      </c>
      <c r="N957" s="37" t="str">
        <f aca="false">IF(A957="","",IFERROR(INDEX(Customers!$E$5:$E$204,MATCH(C957,Customers!$A$5:$A$204,0)),"?"))</f>
        <v/>
      </c>
      <c r="O957" s="38" t="str">
        <f aca="false">IF(A957="","",IF(N957=Settings!$B$17,"No","Yes"))</f>
        <v/>
      </c>
      <c r="P957" s="35" t="n">
        <f aca="false">IF(O957="Yes",ROUND(L957*M957,2),0)</f>
        <v>0</v>
      </c>
      <c r="Q957" s="35" t="n">
        <f aca="false">IF(O957="No",ROUND(L957*M957/2,2),0)</f>
        <v>0</v>
      </c>
      <c r="R957" s="35" t="n">
        <f aca="false">Q957</f>
        <v>0</v>
      </c>
      <c r="S957" s="35" t="n">
        <f aca="false">L957+P957+Q957+R957</f>
        <v>0</v>
      </c>
      <c r="T957" s="34" t="str">
        <f aca="false">IF(A957="","",IFERROR(INDEX(Customers!$B$5:$B$204,MATCH(C957,Customers!$A$5:$A$204,0))&amp;"",""))</f>
        <v/>
      </c>
      <c r="U957" s="38" t="str">
        <f aca="false">IF(A957="","",IF(T957&lt;&gt;"","B2B",IF(AND(O957="Yes",SUMIF($A$5:$A$1004,A957,$L$5:$L$1004)+SUMIF($A$5:$A$1004,A957,$P$5:$P$1004)&gt;100000),"B2CL","B2CS")))</f>
        <v/>
      </c>
      <c r="V957" s="17" t="str">
        <f aca="false">IF(A957="","",TEXT(B957,"mmm-yyyy"))</f>
        <v/>
      </c>
    </row>
    <row r="958" customFormat="false" ht="15" hidden="false" customHeight="true" outlineLevel="0" collapsed="false">
      <c r="A958" s="24"/>
      <c r="B958" s="39"/>
      <c r="C958" s="24"/>
      <c r="D958" s="24"/>
      <c r="E958" s="40"/>
      <c r="F958" s="29"/>
      <c r="G958" s="30"/>
      <c r="H958" s="17" t="str">
        <f aca="false">IF(A958="","",A958&amp;"|"&amp;COUNTIF(A$5:A958,A958))</f>
        <v/>
      </c>
      <c r="I958" s="33" t="str">
        <f aca="false">IF(A958="","",IFERROR(INDEX(Items!$B$5:$B$304,MATCH(D958,Items!$A$5:$A$304,0))&amp;"",""))</f>
        <v/>
      </c>
      <c r="J958" s="34" t="str">
        <f aca="false">IF(A958="","",IFERROR(INDEX(Items!$C$5:$C$304,MATCH(D958,Items!$A$5:$A$304,0))&amp;"",""))</f>
        <v/>
      </c>
      <c r="K958" s="35" t="n">
        <f aca="false">IF(A958="",0,IF(ISNUMBER(F958),F958,IFERROR(INDEX(Items!$D$5:$D$304,MATCH(D958,Items!$A$5:$A$304,0)),0)))</f>
        <v>0</v>
      </c>
      <c r="L958" s="35" t="n">
        <f aca="false">ROUND(N(E958)*K958*(1-N(G958)),2)</f>
        <v>0</v>
      </c>
      <c r="M958" s="36" t="n">
        <f aca="false">IF(A958="",0,IFERROR(INDEX(Items!$E$5:$E$304,MATCH(D958,Items!$A$5:$A$304,0)),0))</f>
        <v>0</v>
      </c>
      <c r="N958" s="37" t="str">
        <f aca="false">IF(A958="","",IFERROR(INDEX(Customers!$E$5:$E$204,MATCH(C958,Customers!$A$5:$A$204,0)),"?"))</f>
        <v/>
      </c>
      <c r="O958" s="38" t="str">
        <f aca="false">IF(A958="","",IF(N958=Settings!$B$17,"No","Yes"))</f>
        <v/>
      </c>
      <c r="P958" s="35" t="n">
        <f aca="false">IF(O958="Yes",ROUND(L958*M958,2),0)</f>
        <v>0</v>
      </c>
      <c r="Q958" s="35" t="n">
        <f aca="false">IF(O958="No",ROUND(L958*M958/2,2),0)</f>
        <v>0</v>
      </c>
      <c r="R958" s="35" t="n">
        <f aca="false">Q958</f>
        <v>0</v>
      </c>
      <c r="S958" s="35" t="n">
        <f aca="false">L958+P958+Q958+R958</f>
        <v>0</v>
      </c>
      <c r="T958" s="34" t="str">
        <f aca="false">IF(A958="","",IFERROR(INDEX(Customers!$B$5:$B$204,MATCH(C958,Customers!$A$5:$A$204,0))&amp;"",""))</f>
        <v/>
      </c>
      <c r="U958" s="38" t="str">
        <f aca="false">IF(A958="","",IF(T958&lt;&gt;"","B2B",IF(AND(O958="Yes",SUMIF($A$5:$A$1004,A958,$L$5:$L$1004)+SUMIF($A$5:$A$1004,A958,$P$5:$P$1004)&gt;100000),"B2CL","B2CS")))</f>
        <v/>
      </c>
      <c r="V958" s="17" t="str">
        <f aca="false">IF(A958="","",TEXT(B958,"mmm-yyyy"))</f>
        <v/>
      </c>
    </row>
    <row r="959" customFormat="false" ht="15" hidden="false" customHeight="true" outlineLevel="0" collapsed="false">
      <c r="A959" s="24"/>
      <c r="B959" s="39"/>
      <c r="C959" s="24"/>
      <c r="D959" s="24"/>
      <c r="E959" s="40"/>
      <c r="F959" s="29"/>
      <c r="G959" s="30"/>
      <c r="H959" s="17" t="str">
        <f aca="false">IF(A959="","",A959&amp;"|"&amp;COUNTIF(A$5:A959,A959))</f>
        <v/>
      </c>
      <c r="I959" s="33" t="str">
        <f aca="false">IF(A959="","",IFERROR(INDEX(Items!$B$5:$B$304,MATCH(D959,Items!$A$5:$A$304,0))&amp;"",""))</f>
        <v/>
      </c>
      <c r="J959" s="34" t="str">
        <f aca="false">IF(A959="","",IFERROR(INDEX(Items!$C$5:$C$304,MATCH(D959,Items!$A$5:$A$304,0))&amp;"",""))</f>
        <v/>
      </c>
      <c r="K959" s="35" t="n">
        <f aca="false">IF(A959="",0,IF(ISNUMBER(F959),F959,IFERROR(INDEX(Items!$D$5:$D$304,MATCH(D959,Items!$A$5:$A$304,0)),0)))</f>
        <v>0</v>
      </c>
      <c r="L959" s="35" t="n">
        <f aca="false">ROUND(N(E959)*K959*(1-N(G959)),2)</f>
        <v>0</v>
      </c>
      <c r="M959" s="36" t="n">
        <f aca="false">IF(A959="",0,IFERROR(INDEX(Items!$E$5:$E$304,MATCH(D959,Items!$A$5:$A$304,0)),0))</f>
        <v>0</v>
      </c>
      <c r="N959" s="37" t="str">
        <f aca="false">IF(A959="","",IFERROR(INDEX(Customers!$E$5:$E$204,MATCH(C959,Customers!$A$5:$A$204,0)),"?"))</f>
        <v/>
      </c>
      <c r="O959" s="38" t="str">
        <f aca="false">IF(A959="","",IF(N959=Settings!$B$17,"No","Yes"))</f>
        <v/>
      </c>
      <c r="P959" s="35" t="n">
        <f aca="false">IF(O959="Yes",ROUND(L959*M959,2),0)</f>
        <v>0</v>
      </c>
      <c r="Q959" s="35" t="n">
        <f aca="false">IF(O959="No",ROUND(L959*M959/2,2),0)</f>
        <v>0</v>
      </c>
      <c r="R959" s="35" t="n">
        <f aca="false">Q959</f>
        <v>0</v>
      </c>
      <c r="S959" s="35" t="n">
        <f aca="false">L959+P959+Q959+R959</f>
        <v>0</v>
      </c>
      <c r="T959" s="34" t="str">
        <f aca="false">IF(A959="","",IFERROR(INDEX(Customers!$B$5:$B$204,MATCH(C959,Customers!$A$5:$A$204,0))&amp;"",""))</f>
        <v/>
      </c>
      <c r="U959" s="38" t="str">
        <f aca="false">IF(A959="","",IF(T959&lt;&gt;"","B2B",IF(AND(O959="Yes",SUMIF($A$5:$A$1004,A959,$L$5:$L$1004)+SUMIF($A$5:$A$1004,A959,$P$5:$P$1004)&gt;100000),"B2CL","B2CS")))</f>
        <v/>
      </c>
      <c r="V959" s="17" t="str">
        <f aca="false">IF(A959="","",TEXT(B959,"mmm-yyyy"))</f>
        <v/>
      </c>
    </row>
    <row r="960" customFormat="false" ht="15" hidden="false" customHeight="true" outlineLevel="0" collapsed="false">
      <c r="A960" s="24"/>
      <c r="B960" s="39"/>
      <c r="C960" s="24"/>
      <c r="D960" s="24"/>
      <c r="E960" s="40"/>
      <c r="F960" s="29"/>
      <c r="G960" s="30"/>
      <c r="H960" s="17" t="str">
        <f aca="false">IF(A960="","",A960&amp;"|"&amp;COUNTIF(A$5:A960,A960))</f>
        <v/>
      </c>
      <c r="I960" s="33" t="str">
        <f aca="false">IF(A960="","",IFERROR(INDEX(Items!$B$5:$B$304,MATCH(D960,Items!$A$5:$A$304,0))&amp;"",""))</f>
        <v/>
      </c>
      <c r="J960" s="34" t="str">
        <f aca="false">IF(A960="","",IFERROR(INDEX(Items!$C$5:$C$304,MATCH(D960,Items!$A$5:$A$304,0))&amp;"",""))</f>
        <v/>
      </c>
      <c r="K960" s="35" t="n">
        <f aca="false">IF(A960="",0,IF(ISNUMBER(F960),F960,IFERROR(INDEX(Items!$D$5:$D$304,MATCH(D960,Items!$A$5:$A$304,0)),0)))</f>
        <v>0</v>
      </c>
      <c r="L960" s="35" t="n">
        <f aca="false">ROUND(N(E960)*K960*(1-N(G960)),2)</f>
        <v>0</v>
      </c>
      <c r="M960" s="36" t="n">
        <f aca="false">IF(A960="",0,IFERROR(INDEX(Items!$E$5:$E$304,MATCH(D960,Items!$A$5:$A$304,0)),0))</f>
        <v>0</v>
      </c>
      <c r="N960" s="37" t="str">
        <f aca="false">IF(A960="","",IFERROR(INDEX(Customers!$E$5:$E$204,MATCH(C960,Customers!$A$5:$A$204,0)),"?"))</f>
        <v/>
      </c>
      <c r="O960" s="38" t="str">
        <f aca="false">IF(A960="","",IF(N960=Settings!$B$17,"No","Yes"))</f>
        <v/>
      </c>
      <c r="P960" s="35" t="n">
        <f aca="false">IF(O960="Yes",ROUND(L960*M960,2),0)</f>
        <v>0</v>
      </c>
      <c r="Q960" s="35" t="n">
        <f aca="false">IF(O960="No",ROUND(L960*M960/2,2),0)</f>
        <v>0</v>
      </c>
      <c r="R960" s="35" t="n">
        <f aca="false">Q960</f>
        <v>0</v>
      </c>
      <c r="S960" s="35" t="n">
        <f aca="false">L960+P960+Q960+R960</f>
        <v>0</v>
      </c>
      <c r="T960" s="34" t="str">
        <f aca="false">IF(A960="","",IFERROR(INDEX(Customers!$B$5:$B$204,MATCH(C960,Customers!$A$5:$A$204,0))&amp;"",""))</f>
        <v/>
      </c>
      <c r="U960" s="38" t="str">
        <f aca="false">IF(A960="","",IF(T960&lt;&gt;"","B2B",IF(AND(O960="Yes",SUMIF($A$5:$A$1004,A960,$L$5:$L$1004)+SUMIF($A$5:$A$1004,A960,$P$5:$P$1004)&gt;100000),"B2CL","B2CS")))</f>
        <v/>
      </c>
      <c r="V960" s="17" t="str">
        <f aca="false">IF(A960="","",TEXT(B960,"mmm-yyyy"))</f>
        <v/>
      </c>
    </row>
    <row r="961" customFormat="false" ht="15" hidden="false" customHeight="true" outlineLevel="0" collapsed="false">
      <c r="A961" s="24"/>
      <c r="B961" s="39"/>
      <c r="C961" s="24"/>
      <c r="D961" s="24"/>
      <c r="E961" s="40"/>
      <c r="F961" s="29"/>
      <c r="G961" s="30"/>
      <c r="H961" s="17" t="str">
        <f aca="false">IF(A961="","",A961&amp;"|"&amp;COUNTIF(A$5:A961,A961))</f>
        <v/>
      </c>
      <c r="I961" s="33" t="str">
        <f aca="false">IF(A961="","",IFERROR(INDEX(Items!$B$5:$B$304,MATCH(D961,Items!$A$5:$A$304,0))&amp;"",""))</f>
        <v/>
      </c>
      <c r="J961" s="34" t="str">
        <f aca="false">IF(A961="","",IFERROR(INDEX(Items!$C$5:$C$304,MATCH(D961,Items!$A$5:$A$304,0))&amp;"",""))</f>
        <v/>
      </c>
      <c r="K961" s="35" t="n">
        <f aca="false">IF(A961="",0,IF(ISNUMBER(F961),F961,IFERROR(INDEX(Items!$D$5:$D$304,MATCH(D961,Items!$A$5:$A$304,0)),0)))</f>
        <v>0</v>
      </c>
      <c r="L961" s="35" t="n">
        <f aca="false">ROUND(N(E961)*K961*(1-N(G961)),2)</f>
        <v>0</v>
      </c>
      <c r="M961" s="36" t="n">
        <f aca="false">IF(A961="",0,IFERROR(INDEX(Items!$E$5:$E$304,MATCH(D961,Items!$A$5:$A$304,0)),0))</f>
        <v>0</v>
      </c>
      <c r="N961" s="37" t="str">
        <f aca="false">IF(A961="","",IFERROR(INDEX(Customers!$E$5:$E$204,MATCH(C961,Customers!$A$5:$A$204,0)),"?"))</f>
        <v/>
      </c>
      <c r="O961" s="38" t="str">
        <f aca="false">IF(A961="","",IF(N961=Settings!$B$17,"No","Yes"))</f>
        <v/>
      </c>
      <c r="P961" s="35" t="n">
        <f aca="false">IF(O961="Yes",ROUND(L961*M961,2),0)</f>
        <v>0</v>
      </c>
      <c r="Q961" s="35" t="n">
        <f aca="false">IF(O961="No",ROUND(L961*M961/2,2),0)</f>
        <v>0</v>
      </c>
      <c r="R961" s="35" t="n">
        <f aca="false">Q961</f>
        <v>0</v>
      </c>
      <c r="S961" s="35" t="n">
        <f aca="false">L961+P961+Q961+R961</f>
        <v>0</v>
      </c>
      <c r="T961" s="34" t="str">
        <f aca="false">IF(A961="","",IFERROR(INDEX(Customers!$B$5:$B$204,MATCH(C961,Customers!$A$5:$A$204,0))&amp;"",""))</f>
        <v/>
      </c>
      <c r="U961" s="38" t="str">
        <f aca="false">IF(A961="","",IF(T961&lt;&gt;"","B2B",IF(AND(O961="Yes",SUMIF($A$5:$A$1004,A961,$L$5:$L$1004)+SUMIF($A$5:$A$1004,A961,$P$5:$P$1004)&gt;100000),"B2CL","B2CS")))</f>
        <v/>
      </c>
      <c r="V961" s="17" t="str">
        <f aca="false">IF(A961="","",TEXT(B961,"mmm-yyyy"))</f>
        <v/>
      </c>
    </row>
    <row r="962" customFormat="false" ht="15" hidden="false" customHeight="true" outlineLevel="0" collapsed="false">
      <c r="A962" s="24"/>
      <c r="B962" s="39"/>
      <c r="C962" s="24"/>
      <c r="D962" s="24"/>
      <c r="E962" s="40"/>
      <c r="F962" s="29"/>
      <c r="G962" s="30"/>
      <c r="H962" s="17" t="str">
        <f aca="false">IF(A962="","",A962&amp;"|"&amp;COUNTIF(A$5:A962,A962))</f>
        <v/>
      </c>
      <c r="I962" s="33" t="str">
        <f aca="false">IF(A962="","",IFERROR(INDEX(Items!$B$5:$B$304,MATCH(D962,Items!$A$5:$A$304,0))&amp;"",""))</f>
        <v/>
      </c>
      <c r="J962" s="34" t="str">
        <f aca="false">IF(A962="","",IFERROR(INDEX(Items!$C$5:$C$304,MATCH(D962,Items!$A$5:$A$304,0))&amp;"",""))</f>
        <v/>
      </c>
      <c r="K962" s="35" t="n">
        <f aca="false">IF(A962="",0,IF(ISNUMBER(F962),F962,IFERROR(INDEX(Items!$D$5:$D$304,MATCH(D962,Items!$A$5:$A$304,0)),0)))</f>
        <v>0</v>
      </c>
      <c r="L962" s="35" t="n">
        <f aca="false">ROUND(N(E962)*K962*(1-N(G962)),2)</f>
        <v>0</v>
      </c>
      <c r="M962" s="36" t="n">
        <f aca="false">IF(A962="",0,IFERROR(INDEX(Items!$E$5:$E$304,MATCH(D962,Items!$A$5:$A$304,0)),0))</f>
        <v>0</v>
      </c>
      <c r="N962" s="37" t="str">
        <f aca="false">IF(A962="","",IFERROR(INDEX(Customers!$E$5:$E$204,MATCH(C962,Customers!$A$5:$A$204,0)),"?"))</f>
        <v/>
      </c>
      <c r="O962" s="38" t="str">
        <f aca="false">IF(A962="","",IF(N962=Settings!$B$17,"No","Yes"))</f>
        <v/>
      </c>
      <c r="P962" s="35" t="n">
        <f aca="false">IF(O962="Yes",ROUND(L962*M962,2),0)</f>
        <v>0</v>
      </c>
      <c r="Q962" s="35" t="n">
        <f aca="false">IF(O962="No",ROUND(L962*M962/2,2),0)</f>
        <v>0</v>
      </c>
      <c r="R962" s="35" t="n">
        <f aca="false">Q962</f>
        <v>0</v>
      </c>
      <c r="S962" s="35" t="n">
        <f aca="false">L962+P962+Q962+R962</f>
        <v>0</v>
      </c>
      <c r="T962" s="34" t="str">
        <f aca="false">IF(A962="","",IFERROR(INDEX(Customers!$B$5:$B$204,MATCH(C962,Customers!$A$5:$A$204,0))&amp;"",""))</f>
        <v/>
      </c>
      <c r="U962" s="38" t="str">
        <f aca="false">IF(A962="","",IF(T962&lt;&gt;"","B2B",IF(AND(O962="Yes",SUMIF($A$5:$A$1004,A962,$L$5:$L$1004)+SUMIF($A$5:$A$1004,A962,$P$5:$P$1004)&gt;100000),"B2CL","B2CS")))</f>
        <v/>
      </c>
      <c r="V962" s="17" t="str">
        <f aca="false">IF(A962="","",TEXT(B962,"mmm-yyyy"))</f>
        <v/>
      </c>
    </row>
    <row r="963" customFormat="false" ht="15" hidden="false" customHeight="true" outlineLevel="0" collapsed="false">
      <c r="A963" s="24"/>
      <c r="B963" s="39"/>
      <c r="C963" s="24"/>
      <c r="D963" s="24"/>
      <c r="E963" s="40"/>
      <c r="F963" s="29"/>
      <c r="G963" s="30"/>
      <c r="H963" s="17" t="str">
        <f aca="false">IF(A963="","",A963&amp;"|"&amp;COUNTIF(A$5:A963,A963))</f>
        <v/>
      </c>
      <c r="I963" s="33" t="str">
        <f aca="false">IF(A963="","",IFERROR(INDEX(Items!$B$5:$B$304,MATCH(D963,Items!$A$5:$A$304,0))&amp;"",""))</f>
        <v/>
      </c>
      <c r="J963" s="34" t="str">
        <f aca="false">IF(A963="","",IFERROR(INDEX(Items!$C$5:$C$304,MATCH(D963,Items!$A$5:$A$304,0))&amp;"",""))</f>
        <v/>
      </c>
      <c r="K963" s="35" t="n">
        <f aca="false">IF(A963="",0,IF(ISNUMBER(F963),F963,IFERROR(INDEX(Items!$D$5:$D$304,MATCH(D963,Items!$A$5:$A$304,0)),0)))</f>
        <v>0</v>
      </c>
      <c r="L963" s="35" t="n">
        <f aca="false">ROUND(N(E963)*K963*(1-N(G963)),2)</f>
        <v>0</v>
      </c>
      <c r="M963" s="36" t="n">
        <f aca="false">IF(A963="",0,IFERROR(INDEX(Items!$E$5:$E$304,MATCH(D963,Items!$A$5:$A$304,0)),0))</f>
        <v>0</v>
      </c>
      <c r="N963" s="37" t="str">
        <f aca="false">IF(A963="","",IFERROR(INDEX(Customers!$E$5:$E$204,MATCH(C963,Customers!$A$5:$A$204,0)),"?"))</f>
        <v/>
      </c>
      <c r="O963" s="38" t="str">
        <f aca="false">IF(A963="","",IF(N963=Settings!$B$17,"No","Yes"))</f>
        <v/>
      </c>
      <c r="P963" s="35" t="n">
        <f aca="false">IF(O963="Yes",ROUND(L963*M963,2),0)</f>
        <v>0</v>
      </c>
      <c r="Q963" s="35" t="n">
        <f aca="false">IF(O963="No",ROUND(L963*M963/2,2),0)</f>
        <v>0</v>
      </c>
      <c r="R963" s="35" t="n">
        <f aca="false">Q963</f>
        <v>0</v>
      </c>
      <c r="S963" s="35" t="n">
        <f aca="false">L963+P963+Q963+R963</f>
        <v>0</v>
      </c>
      <c r="T963" s="34" t="str">
        <f aca="false">IF(A963="","",IFERROR(INDEX(Customers!$B$5:$B$204,MATCH(C963,Customers!$A$5:$A$204,0))&amp;"",""))</f>
        <v/>
      </c>
      <c r="U963" s="38" t="str">
        <f aca="false">IF(A963="","",IF(T963&lt;&gt;"","B2B",IF(AND(O963="Yes",SUMIF($A$5:$A$1004,A963,$L$5:$L$1004)+SUMIF($A$5:$A$1004,A963,$P$5:$P$1004)&gt;100000),"B2CL","B2CS")))</f>
        <v/>
      </c>
      <c r="V963" s="17" t="str">
        <f aca="false">IF(A963="","",TEXT(B963,"mmm-yyyy"))</f>
        <v/>
      </c>
    </row>
    <row r="964" customFormat="false" ht="15" hidden="false" customHeight="true" outlineLevel="0" collapsed="false">
      <c r="A964" s="24"/>
      <c r="B964" s="39"/>
      <c r="C964" s="24"/>
      <c r="D964" s="24"/>
      <c r="E964" s="40"/>
      <c r="F964" s="29"/>
      <c r="G964" s="30"/>
      <c r="H964" s="17" t="str">
        <f aca="false">IF(A964="","",A964&amp;"|"&amp;COUNTIF(A$5:A964,A964))</f>
        <v/>
      </c>
      <c r="I964" s="33" t="str">
        <f aca="false">IF(A964="","",IFERROR(INDEX(Items!$B$5:$B$304,MATCH(D964,Items!$A$5:$A$304,0))&amp;"",""))</f>
        <v/>
      </c>
      <c r="J964" s="34" t="str">
        <f aca="false">IF(A964="","",IFERROR(INDEX(Items!$C$5:$C$304,MATCH(D964,Items!$A$5:$A$304,0))&amp;"",""))</f>
        <v/>
      </c>
      <c r="K964" s="35" t="n">
        <f aca="false">IF(A964="",0,IF(ISNUMBER(F964),F964,IFERROR(INDEX(Items!$D$5:$D$304,MATCH(D964,Items!$A$5:$A$304,0)),0)))</f>
        <v>0</v>
      </c>
      <c r="L964" s="35" t="n">
        <f aca="false">ROUND(N(E964)*K964*(1-N(G964)),2)</f>
        <v>0</v>
      </c>
      <c r="M964" s="36" t="n">
        <f aca="false">IF(A964="",0,IFERROR(INDEX(Items!$E$5:$E$304,MATCH(D964,Items!$A$5:$A$304,0)),0))</f>
        <v>0</v>
      </c>
      <c r="N964" s="37" t="str">
        <f aca="false">IF(A964="","",IFERROR(INDEX(Customers!$E$5:$E$204,MATCH(C964,Customers!$A$5:$A$204,0)),"?"))</f>
        <v/>
      </c>
      <c r="O964" s="38" t="str">
        <f aca="false">IF(A964="","",IF(N964=Settings!$B$17,"No","Yes"))</f>
        <v/>
      </c>
      <c r="P964" s="35" t="n">
        <f aca="false">IF(O964="Yes",ROUND(L964*M964,2),0)</f>
        <v>0</v>
      </c>
      <c r="Q964" s="35" t="n">
        <f aca="false">IF(O964="No",ROUND(L964*M964/2,2),0)</f>
        <v>0</v>
      </c>
      <c r="R964" s="35" t="n">
        <f aca="false">Q964</f>
        <v>0</v>
      </c>
      <c r="S964" s="35" t="n">
        <f aca="false">L964+P964+Q964+R964</f>
        <v>0</v>
      </c>
      <c r="T964" s="34" t="str">
        <f aca="false">IF(A964="","",IFERROR(INDEX(Customers!$B$5:$B$204,MATCH(C964,Customers!$A$5:$A$204,0))&amp;"",""))</f>
        <v/>
      </c>
      <c r="U964" s="38" t="str">
        <f aca="false">IF(A964="","",IF(T964&lt;&gt;"","B2B",IF(AND(O964="Yes",SUMIF($A$5:$A$1004,A964,$L$5:$L$1004)+SUMIF($A$5:$A$1004,A964,$P$5:$P$1004)&gt;100000),"B2CL","B2CS")))</f>
        <v/>
      </c>
      <c r="V964" s="17" t="str">
        <f aca="false">IF(A964="","",TEXT(B964,"mmm-yyyy"))</f>
        <v/>
      </c>
    </row>
    <row r="965" customFormat="false" ht="15" hidden="false" customHeight="true" outlineLevel="0" collapsed="false">
      <c r="A965" s="24"/>
      <c r="B965" s="39"/>
      <c r="C965" s="24"/>
      <c r="D965" s="24"/>
      <c r="E965" s="40"/>
      <c r="F965" s="29"/>
      <c r="G965" s="30"/>
      <c r="H965" s="17" t="str">
        <f aca="false">IF(A965="","",A965&amp;"|"&amp;COUNTIF(A$5:A965,A965))</f>
        <v/>
      </c>
      <c r="I965" s="33" t="str">
        <f aca="false">IF(A965="","",IFERROR(INDEX(Items!$B$5:$B$304,MATCH(D965,Items!$A$5:$A$304,0))&amp;"",""))</f>
        <v/>
      </c>
      <c r="J965" s="34" t="str">
        <f aca="false">IF(A965="","",IFERROR(INDEX(Items!$C$5:$C$304,MATCH(D965,Items!$A$5:$A$304,0))&amp;"",""))</f>
        <v/>
      </c>
      <c r="K965" s="35" t="n">
        <f aca="false">IF(A965="",0,IF(ISNUMBER(F965),F965,IFERROR(INDEX(Items!$D$5:$D$304,MATCH(D965,Items!$A$5:$A$304,0)),0)))</f>
        <v>0</v>
      </c>
      <c r="L965" s="35" t="n">
        <f aca="false">ROUND(N(E965)*K965*(1-N(G965)),2)</f>
        <v>0</v>
      </c>
      <c r="M965" s="36" t="n">
        <f aca="false">IF(A965="",0,IFERROR(INDEX(Items!$E$5:$E$304,MATCH(D965,Items!$A$5:$A$304,0)),0))</f>
        <v>0</v>
      </c>
      <c r="N965" s="37" t="str">
        <f aca="false">IF(A965="","",IFERROR(INDEX(Customers!$E$5:$E$204,MATCH(C965,Customers!$A$5:$A$204,0)),"?"))</f>
        <v/>
      </c>
      <c r="O965" s="38" t="str">
        <f aca="false">IF(A965="","",IF(N965=Settings!$B$17,"No","Yes"))</f>
        <v/>
      </c>
      <c r="P965" s="35" t="n">
        <f aca="false">IF(O965="Yes",ROUND(L965*M965,2),0)</f>
        <v>0</v>
      </c>
      <c r="Q965" s="35" t="n">
        <f aca="false">IF(O965="No",ROUND(L965*M965/2,2),0)</f>
        <v>0</v>
      </c>
      <c r="R965" s="35" t="n">
        <f aca="false">Q965</f>
        <v>0</v>
      </c>
      <c r="S965" s="35" t="n">
        <f aca="false">L965+P965+Q965+R965</f>
        <v>0</v>
      </c>
      <c r="T965" s="34" t="str">
        <f aca="false">IF(A965="","",IFERROR(INDEX(Customers!$B$5:$B$204,MATCH(C965,Customers!$A$5:$A$204,0))&amp;"",""))</f>
        <v/>
      </c>
      <c r="U965" s="38" t="str">
        <f aca="false">IF(A965="","",IF(T965&lt;&gt;"","B2B",IF(AND(O965="Yes",SUMIF($A$5:$A$1004,A965,$L$5:$L$1004)+SUMIF($A$5:$A$1004,A965,$P$5:$P$1004)&gt;100000),"B2CL","B2CS")))</f>
        <v/>
      </c>
      <c r="V965" s="17" t="str">
        <f aca="false">IF(A965="","",TEXT(B965,"mmm-yyyy"))</f>
        <v/>
      </c>
    </row>
    <row r="966" customFormat="false" ht="15" hidden="false" customHeight="true" outlineLevel="0" collapsed="false">
      <c r="A966" s="24"/>
      <c r="B966" s="39"/>
      <c r="C966" s="24"/>
      <c r="D966" s="24"/>
      <c r="E966" s="40"/>
      <c r="F966" s="29"/>
      <c r="G966" s="30"/>
      <c r="H966" s="17" t="str">
        <f aca="false">IF(A966="","",A966&amp;"|"&amp;COUNTIF(A$5:A966,A966))</f>
        <v/>
      </c>
      <c r="I966" s="33" t="str">
        <f aca="false">IF(A966="","",IFERROR(INDEX(Items!$B$5:$B$304,MATCH(D966,Items!$A$5:$A$304,0))&amp;"",""))</f>
        <v/>
      </c>
      <c r="J966" s="34" t="str">
        <f aca="false">IF(A966="","",IFERROR(INDEX(Items!$C$5:$C$304,MATCH(D966,Items!$A$5:$A$304,0))&amp;"",""))</f>
        <v/>
      </c>
      <c r="K966" s="35" t="n">
        <f aca="false">IF(A966="",0,IF(ISNUMBER(F966),F966,IFERROR(INDEX(Items!$D$5:$D$304,MATCH(D966,Items!$A$5:$A$304,0)),0)))</f>
        <v>0</v>
      </c>
      <c r="L966" s="35" t="n">
        <f aca="false">ROUND(N(E966)*K966*(1-N(G966)),2)</f>
        <v>0</v>
      </c>
      <c r="M966" s="36" t="n">
        <f aca="false">IF(A966="",0,IFERROR(INDEX(Items!$E$5:$E$304,MATCH(D966,Items!$A$5:$A$304,0)),0))</f>
        <v>0</v>
      </c>
      <c r="N966" s="37" t="str">
        <f aca="false">IF(A966="","",IFERROR(INDEX(Customers!$E$5:$E$204,MATCH(C966,Customers!$A$5:$A$204,0)),"?"))</f>
        <v/>
      </c>
      <c r="O966" s="38" t="str">
        <f aca="false">IF(A966="","",IF(N966=Settings!$B$17,"No","Yes"))</f>
        <v/>
      </c>
      <c r="P966" s="35" t="n">
        <f aca="false">IF(O966="Yes",ROUND(L966*M966,2),0)</f>
        <v>0</v>
      </c>
      <c r="Q966" s="35" t="n">
        <f aca="false">IF(O966="No",ROUND(L966*M966/2,2),0)</f>
        <v>0</v>
      </c>
      <c r="R966" s="35" t="n">
        <f aca="false">Q966</f>
        <v>0</v>
      </c>
      <c r="S966" s="35" t="n">
        <f aca="false">L966+P966+Q966+R966</f>
        <v>0</v>
      </c>
      <c r="T966" s="34" t="str">
        <f aca="false">IF(A966="","",IFERROR(INDEX(Customers!$B$5:$B$204,MATCH(C966,Customers!$A$5:$A$204,0))&amp;"",""))</f>
        <v/>
      </c>
      <c r="U966" s="38" t="str">
        <f aca="false">IF(A966="","",IF(T966&lt;&gt;"","B2B",IF(AND(O966="Yes",SUMIF($A$5:$A$1004,A966,$L$5:$L$1004)+SUMIF($A$5:$A$1004,A966,$P$5:$P$1004)&gt;100000),"B2CL","B2CS")))</f>
        <v/>
      </c>
      <c r="V966" s="17" t="str">
        <f aca="false">IF(A966="","",TEXT(B966,"mmm-yyyy"))</f>
        <v/>
      </c>
    </row>
    <row r="967" customFormat="false" ht="15" hidden="false" customHeight="true" outlineLevel="0" collapsed="false">
      <c r="A967" s="24"/>
      <c r="B967" s="39"/>
      <c r="C967" s="24"/>
      <c r="D967" s="24"/>
      <c r="E967" s="40"/>
      <c r="F967" s="29"/>
      <c r="G967" s="30"/>
      <c r="H967" s="17" t="str">
        <f aca="false">IF(A967="","",A967&amp;"|"&amp;COUNTIF(A$5:A967,A967))</f>
        <v/>
      </c>
      <c r="I967" s="33" t="str">
        <f aca="false">IF(A967="","",IFERROR(INDEX(Items!$B$5:$B$304,MATCH(D967,Items!$A$5:$A$304,0))&amp;"",""))</f>
        <v/>
      </c>
      <c r="J967" s="34" t="str">
        <f aca="false">IF(A967="","",IFERROR(INDEX(Items!$C$5:$C$304,MATCH(D967,Items!$A$5:$A$304,0))&amp;"",""))</f>
        <v/>
      </c>
      <c r="K967" s="35" t="n">
        <f aca="false">IF(A967="",0,IF(ISNUMBER(F967),F967,IFERROR(INDEX(Items!$D$5:$D$304,MATCH(D967,Items!$A$5:$A$304,0)),0)))</f>
        <v>0</v>
      </c>
      <c r="L967" s="35" t="n">
        <f aca="false">ROUND(N(E967)*K967*(1-N(G967)),2)</f>
        <v>0</v>
      </c>
      <c r="M967" s="36" t="n">
        <f aca="false">IF(A967="",0,IFERROR(INDEX(Items!$E$5:$E$304,MATCH(D967,Items!$A$5:$A$304,0)),0))</f>
        <v>0</v>
      </c>
      <c r="N967" s="37" t="str">
        <f aca="false">IF(A967="","",IFERROR(INDEX(Customers!$E$5:$E$204,MATCH(C967,Customers!$A$5:$A$204,0)),"?"))</f>
        <v/>
      </c>
      <c r="O967" s="38" t="str">
        <f aca="false">IF(A967="","",IF(N967=Settings!$B$17,"No","Yes"))</f>
        <v/>
      </c>
      <c r="P967" s="35" t="n">
        <f aca="false">IF(O967="Yes",ROUND(L967*M967,2),0)</f>
        <v>0</v>
      </c>
      <c r="Q967" s="35" t="n">
        <f aca="false">IF(O967="No",ROUND(L967*M967/2,2),0)</f>
        <v>0</v>
      </c>
      <c r="R967" s="35" t="n">
        <f aca="false">Q967</f>
        <v>0</v>
      </c>
      <c r="S967" s="35" t="n">
        <f aca="false">L967+P967+Q967+R967</f>
        <v>0</v>
      </c>
      <c r="T967" s="34" t="str">
        <f aca="false">IF(A967="","",IFERROR(INDEX(Customers!$B$5:$B$204,MATCH(C967,Customers!$A$5:$A$204,0))&amp;"",""))</f>
        <v/>
      </c>
      <c r="U967" s="38" t="str">
        <f aca="false">IF(A967="","",IF(T967&lt;&gt;"","B2B",IF(AND(O967="Yes",SUMIF($A$5:$A$1004,A967,$L$5:$L$1004)+SUMIF($A$5:$A$1004,A967,$P$5:$P$1004)&gt;100000),"B2CL","B2CS")))</f>
        <v/>
      </c>
      <c r="V967" s="17" t="str">
        <f aca="false">IF(A967="","",TEXT(B967,"mmm-yyyy"))</f>
        <v/>
      </c>
    </row>
    <row r="968" customFormat="false" ht="15" hidden="false" customHeight="true" outlineLevel="0" collapsed="false">
      <c r="A968" s="24"/>
      <c r="B968" s="39"/>
      <c r="C968" s="24"/>
      <c r="D968" s="24"/>
      <c r="E968" s="40"/>
      <c r="F968" s="29"/>
      <c r="G968" s="30"/>
      <c r="H968" s="17" t="str">
        <f aca="false">IF(A968="","",A968&amp;"|"&amp;COUNTIF(A$5:A968,A968))</f>
        <v/>
      </c>
      <c r="I968" s="33" t="str">
        <f aca="false">IF(A968="","",IFERROR(INDEX(Items!$B$5:$B$304,MATCH(D968,Items!$A$5:$A$304,0))&amp;"",""))</f>
        <v/>
      </c>
      <c r="J968" s="34" t="str">
        <f aca="false">IF(A968="","",IFERROR(INDEX(Items!$C$5:$C$304,MATCH(D968,Items!$A$5:$A$304,0))&amp;"",""))</f>
        <v/>
      </c>
      <c r="K968" s="35" t="n">
        <f aca="false">IF(A968="",0,IF(ISNUMBER(F968),F968,IFERROR(INDEX(Items!$D$5:$D$304,MATCH(D968,Items!$A$5:$A$304,0)),0)))</f>
        <v>0</v>
      </c>
      <c r="L968" s="35" t="n">
        <f aca="false">ROUND(N(E968)*K968*(1-N(G968)),2)</f>
        <v>0</v>
      </c>
      <c r="M968" s="36" t="n">
        <f aca="false">IF(A968="",0,IFERROR(INDEX(Items!$E$5:$E$304,MATCH(D968,Items!$A$5:$A$304,0)),0))</f>
        <v>0</v>
      </c>
      <c r="N968" s="37" t="str">
        <f aca="false">IF(A968="","",IFERROR(INDEX(Customers!$E$5:$E$204,MATCH(C968,Customers!$A$5:$A$204,0)),"?"))</f>
        <v/>
      </c>
      <c r="O968" s="38" t="str">
        <f aca="false">IF(A968="","",IF(N968=Settings!$B$17,"No","Yes"))</f>
        <v/>
      </c>
      <c r="P968" s="35" t="n">
        <f aca="false">IF(O968="Yes",ROUND(L968*M968,2),0)</f>
        <v>0</v>
      </c>
      <c r="Q968" s="35" t="n">
        <f aca="false">IF(O968="No",ROUND(L968*M968/2,2),0)</f>
        <v>0</v>
      </c>
      <c r="R968" s="35" t="n">
        <f aca="false">Q968</f>
        <v>0</v>
      </c>
      <c r="S968" s="35" t="n">
        <f aca="false">L968+P968+Q968+R968</f>
        <v>0</v>
      </c>
      <c r="T968" s="34" t="str">
        <f aca="false">IF(A968="","",IFERROR(INDEX(Customers!$B$5:$B$204,MATCH(C968,Customers!$A$5:$A$204,0))&amp;"",""))</f>
        <v/>
      </c>
      <c r="U968" s="38" t="str">
        <f aca="false">IF(A968="","",IF(T968&lt;&gt;"","B2B",IF(AND(O968="Yes",SUMIF($A$5:$A$1004,A968,$L$5:$L$1004)+SUMIF($A$5:$A$1004,A968,$P$5:$P$1004)&gt;100000),"B2CL","B2CS")))</f>
        <v/>
      </c>
      <c r="V968" s="17" t="str">
        <f aca="false">IF(A968="","",TEXT(B968,"mmm-yyyy"))</f>
        <v/>
      </c>
    </row>
    <row r="969" customFormat="false" ht="15" hidden="false" customHeight="true" outlineLevel="0" collapsed="false">
      <c r="A969" s="24"/>
      <c r="B969" s="39"/>
      <c r="C969" s="24"/>
      <c r="D969" s="24"/>
      <c r="E969" s="40"/>
      <c r="F969" s="29"/>
      <c r="G969" s="30"/>
      <c r="H969" s="17" t="str">
        <f aca="false">IF(A969="","",A969&amp;"|"&amp;COUNTIF(A$5:A969,A969))</f>
        <v/>
      </c>
      <c r="I969" s="33" t="str">
        <f aca="false">IF(A969="","",IFERROR(INDEX(Items!$B$5:$B$304,MATCH(D969,Items!$A$5:$A$304,0))&amp;"",""))</f>
        <v/>
      </c>
      <c r="J969" s="34" t="str">
        <f aca="false">IF(A969="","",IFERROR(INDEX(Items!$C$5:$C$304,MATCH(D969,Items!$A$5:$A$304,0))&amp;"",""))</f>
        <v/>
      </c>
      <c r="K969" s="35" t="n">
        <f aca="false">IF(A969="",0,IF(ISNUMBER(F969),F969,IFERROR(INDEX(Items!$D$5:$D$304,MATCH(D969,Items!$A$5:$A$304,0)),0)))</f>
        <v>0</v>
      </c>
      <c r="L969" s="35" t="n">
        <f aca="false">ROUND(N(E969)*K969*(1-N(G969)),2)</f>
        <v>0</v>
      </c>
      <c r="M969" s="36" t="n">
        <f aca="false">IF(A969="",0,IFERROR(INDEX(Items!$E$5:$E$304,MATCH(D969,Items!$A$5:$A$304,0)),0))</f>
        <v>0</v>
      </c>
      <c r="N969" s="37" t="str">
        <f aca="false">IF(A969="","",IFERROR(INDEX(Customers!$E$5:$E$204,MATCH(C969,Customers!$A$5:$A$204,0)),"?"))</f>
        <v/>
      </c>
      <c r="O969" s="38" t="str">
        <f aca="false">IF(A969="","",IF(N969=Settings!$B$17,"No","Yes"))</f>
        <v/>
      </c>
      <c r="P969" s="35" t="n">
        <f aca="false">IF(O969="Yes",ROUND(L969*M969,2),0)</f>
        <v>0</v>
      </c>
      <c r="Q969" s="35" t="n">
        <f aca="false">IF(O969="No",ROUND(L969*M969/2,2),0)</f>
        <v>0</v>
      </c>
      <c r="R969" s="35" t="n">
        <f aca="false">Q969</f>
        <v>0</v>
      </c>
      <c r="S969" s="35" t="n">
        <f aca="false">L969+P969+Q969+R969</f>
        <v>0</v>
      </c>
      <c r="T969" s="34" t="str">
        <f aca="false">IF(A969="","",IFERROR(INDEX(Customers!$B$5:$B$204,MATCH(C969,Customers!$A$5:$A$204,0))&amp;"",""))</f>
        <v/>
      </c>
      <c r="U969" s="38" t="str">
        <f aca="false">IF(A969="","",IF(T969&lt;&gt;"","B2B",IF(AND(O969="Yes",SUMIF($A$5:$A$1004,A969,$L$5:$L$1004)+SUMIF($A$5:$A$1004,A969,$P$5:$P$1004)&gt;100000),"B2CL","B2CS")))</f>
        <v/>
      </c>
      <c r="V969" s="17" t="str">
        <f aca="false">IF(A969="","",TEXT(B969,"mmm-yyyy"))</f>
        <v/>
      </c>
    </row>
    <row r="970" customFormat="false" ht="15" hidden="false" customHeight="true" outlineLevel="0" collapsed="false">
      <c r="A970" s="24"/>
      <c r="B970" s="39"/>
      <c r="C970" s="24"/>
      <c r="D970" s="24"/>
      <c r="E970" s="40"/>
      <c r="F970" s="29"/>
      <c r="G970" s="30"/>
      <c r="H970" s="17" t="str">
        <f aca="false">IF(A970="","",A970&amp;"|"&amp;COUNTIF(A$5:A970,A970))</f>
        <v/>
      </c>
      <c r="I970" s="33" t="str">
        <f aca="false">IF(A970="","",IFERROR(INDEX(Items!$B$5:$B$304,MATCH(D970,Items!$A$5:$A$304,0))&amp;"",""))</f>
        <v/>
      </c>
      <c r="J970" s="34" t="str">
        <f aca="false">IF(A970="","",IFERROR(INDEX(Items!$C$5:$C$304,MATCH(D970,Items!$A$5:$A$304,0))&amp;"",""))</f>
        <v/>
      </c>
      <c r="K970" s="35" t="n">
        <f aca="false">IF(A970="",0,IF(ISNUMBER(F970),F970,IFERROR(INDEX(Items!$D$5:$D$304,MATCH(D970,Items!$A$5:$A$304,0)),0)))</f>
        <v>0</v>
      </c>
      <c r="L970" s="35" t="n">
        <f aca="false">ROUND(N(E970)*K970*(1-N(G970)),2)</f>
        <v>0</v>
      </c>
      <c r="M970" s="36" t="n">
        <f aca="false">IF(A970="",0,IFERROR(INDEX(Items!$E$5:$E$304,MATCH(D970,Items!$A$5:$A$304,0)),0))</f>
        <v>0</v>
      </c>
      <c r="N970" s="37" t="str">
        <f aca="false">IF(A970="","",IFERROR(INDEX(Customers!$E$5:$E$204,MATCH(C970,Customers!$A$5:$A$204,0)),"?"))</f>
        <v/>
      </c>
      <c r="O970" s="38" t="str">
        <f aca="false">IF(A970="","",IF(N970=Settings!$B$17,"No","Yes"))</f>
        <v/>
      </c>
      <c r="P970" s="35" t="n">
        <f aca="false">IF(O970="Yes",ROUND(L970*M970,2),0)</f>
        <v>0</v>
      </c>
      <c r="Q970" s="35" t="n">
        <f aca="false">IF(O970="No",ROUND(L970*M970/2,2),0)</f>
        <v>0</v>
      </c>
      <c r="R970" s="35" t="n">
        <f aca="false">Q970</f>
        <v>0</v>
      </c>
      <c r="S970" s="35" t="n">
        <f aca="false">L970+P970+Q970+R970</f>
        <v>0</v>
      </c>
      <c r="T970" s="34" t="str">
        <f aca="false">IF(A970="","",IFERROR(INDEX(Customers!$B$5:$B$204,MATCH(C970,Customers!$A$5:$A$204,0))&amp;"",""))</f>
        <v/>
      </c>
      <c r="U970" s="38" t="str">
        <f aca="false">IF(A970="","",IF(T970&lt;&gt;"","B2B",IF(AND(O970="Yes",SUMIF($A$5:$A$1004,A970,$L$5:$L$1004)+SUMIF($A$5:$A$1004,A970,$P$5:$P$1004)&gt;100000),"B2CL","B2CS")))</f>
        <v/>
      </c>
      <c r="V970" s="17" t="str">
        <f aca="false">IF(A970="","",TEXT(B970,"mmm-yyyy"))</f>
        <v/>
      </c>
    </row>
    <row r="971" customFormat="false" ht="15" hidden="false" customHeight="true" outlineLevel="0" collapsed="false">
      <c r="A971" s="24"/>
      <c r="B971" s="39"/>
      <c r="C971" s="24"/>
      <c r="D971" s="24"/>
      <c r="E971" s="40"/>
      <c r="F971" s="29"/>
      <c r="G971" s="30"/>
      <c r="H971" s="17" t="str">
        <f aca="false">IF(A971="","",A971&amp;"|"&amp;COUNTIF(A$5:A971,A971))</f>
        <v/>
      </c>
      <c r="I971" s="33" t="str">
        <f aca="false">IF(A971="","",IFERROR(INDEX(Items!$B$5:$B$304,MATCH(D971,Items!$A$5:$A$304,0))&amp;"",""))</f>
        <v/>
      </c>
      <c r="J971" s="34" t="str">
        <f aca="false">IF(A971="","",IFERROR(INDEX(Items!$C$5:$C$304,MATCH(D971,Items!$A$5:$A$304,0))&amp;"",""))</f>
        <v/>
      </c>
      <c r="K971" s="35" t="n">
        <f aca="false">IF(A971="",0,IF(ISNUMBER(F971),F971,IFERROR(INDEX(Items!$D$5:$D$304,MATCH(D971,Items!$A$5:$A$304,0)),0)))</f>
        <v>0</v>
      </c>
      <c r="L971" s="35" t="n">
        <f aca="false">ROUND(N(E971)*K971*(1-N(G971)),2)</f>
        <v>0</v>
      </c>
      <c r="M971" s="36" t="n">
        <f aca="false">IF(A971="",0,IFERROR(INDEX(Items!$E$5:$E$304,MATCH(D971,Items!$A$5:$A$304,0)),0))</f>
        <v>0</v>
      </c>
      <c r="N971" s="37" t="str">
        <f aca="false">IF(A971="","",IFERROR(INDEX(Customers!$E$5:$E$204,MATCH(C971,Customers!$A$5:$A$204,0)),"?"))</f>
        <v/>
      </c>
      <c r="O971" s="38" t="str">
        <f aca="false">IF(A971="","",IF(N971=Settings!$B$17,"No","Yes"))</f>
        <v/>
      </c>
      <c r="P971" s="35" t="n">
        <f aca="false">IF(O971="Yes",ROUND(L971*M971,2),0)</f>
        <v>0</v>
      </c>
      <c r="Q971" s="35" t="n">
        <f aca="false">IF(O971="No",ROUND(L971*M971/2,2),0)</f>
        <v>0</v>
      </c>
      <c r="R971" s="35" t="n">
        <f aca="false">Q971</f>
        <v>0</v>
      </c>
      <c r="S971" s="35" t="n">
        <f aca="false">L971+P971+Q971+R971</f>
        <v>0</v>
      </c>
      <c r="T971" s="34" t="str">
        <f aca="false">IF(A971="","",IFERROR(INDEX(Customers!$B$5:$B$204,MATCH(C971,Customers!$A$5:$A$204,0))&amp;"",""))</f>
        <v/>
      </c>
      <c r="U971" s="38" t="str">
        <f aca="false">IF(A971="","",IF(T971&lt;&gt;"","B2B",IF(AND(O971="Yes",SUMIF($A$5:$A$1004,A971,$L$5:$L$1004)+SUMIF($A$5:$A$1004,A971,$P$5:$P$1004)&gt;100000),"B2CL","B2CS")))</f>
        <v/>
      </c>
      <c r="V971" s="17" t="str">
        <f aca="false">IF(A971="","",TEXT(B971,"mmm-yyyy"))</f>
        <v/>
      </c>
    </row>
    <row r="972" customFormat="false" ht="15" hidden="false" customHeight="true" outlineLevel="0" collapsed="false">
      <c r="A972" s="24"/>
      <c r="B972" s="39"/>
      <c r="C972" s="24"/>
      <c r="D972" s="24"/>
      <c r="E972" s="40"/>
      <c r="F972" s="29"/>
      <c r="G972" s="30"/>
      <c r="H972" s="17" t="str">
        <f aca="false">IF(A972="","",A972&amp;"|"&amp;COUNTIF(A$5:A972,A972))</f>
        <v/>
      </c>
      <c r="I972" s="33" t="str">
        <f aca="false">IF(A972="","",IFERROR(INDEX(Items!$B$5:$B$304,MATCH(D972,Items!$A$5:$A$304,0))&amp;"",""))</f>
        <v/>
      </c>
      <c r="J972" s="34" t="str">
        <f aca="false">IF(A972="","",IFERROR(INDEX(Items!$C$5:$C$304,MATCH(D972,Items!$A$5:$A$304,0))&amp;"",""))</f>
        <v/>
      </c>
      <c r="K972" s="35" t="n">
        <f aca="false">IF(A972="",0,IF(ISNUMBER(F972),F972,IFERROR(INDEX(Items!$D$5:$D$304,MATCH(D972,Items!$A$5:$A$304,0)),0)))</f>
        <v>0</v>
      </c>
      <c r="L972" s="35" t="n">
        <f aca="false">ROUND(N(E972)*K972*(1-N(G972)),2)</f>
        <v>0</v>
      </c>
      <c r="M972" s="36" t="n">
        <f aca="false">IF(A972="",0,IFERROR(INDEX(Items!$E$5:$E$304,MATCH(D972,Items!$A$5:$A$304,0)),0))</f>
        <v>0</v>
      </c>
      <c r="N972" s="37" t="str">
        <f aca="false">IF(A972="","",IFERROR(INDEX(Customers!$E$5:$E$204,MATCH(C972,Customers!$A$5:$A$204,0)),"?"))</f>
        <v/>
      </c>
      <c r="O972" s="38" t="str">
        <f aca="false">IF(A972="","",IF(N972=Settings!$B$17,"No","Yes"))</f>
        <v/>
      </c>
      <c r="P972" s="35" t="n">
        <f aca="false">IF(O972="Yes",ROUND(L972*M972,2),0)</f>
        <v>0</v>
      </c>
      <c r="Q972" s="35" t="n">
        <f aca="false">IF(O972="No",ROUND(L972*M972/2,2),0)</f>
        <v>0</v>
      </c>
      <c r="R972" s="35" t="n">
        <f aca="false">Q972</f>
        <v>0</v>
      </c>
      <c r="S972" s="35" t="n">
        <f aca="false">L972+P972+Q972+R972</f>
        <v>0</v>
      </c>
      <c r="T972" s="34" t="str">
        <f aca="false">IF(A972="","",IFERROR(INDEX(Customers!$B$5:$B$204,MATCH(C972,Customers!$A$5:$A$204,0))&amp;"",""))</f>
        <v/>
      </c>
      <c r="U972" s="38" t="str">
        <f aca="false">IF(A972="","",IF(T972&lt;&gt;"","B2B",IF(AND(O972="Yes",SUMIF($A$5:$A$1004,A972,$L$5:$L$1004)+SUMIF($A$5:$A$1004,A972,$P$5:$P$1004)&gt;100000),"B2CL","B2CS")))</f>
        <v/>
      </c>
      <c r="V972" s="17" t="str">
        <f aca="false">IF(A972="","",TEXT(B972,"mmm-yyyy"))</f>
        <v/>
      </c>
    </row>
    <row r="973" customFormat="false" ht="15" hidden="false" customHeight="true" outlineLevel="0" collapsed="false">
      <c r="A973" s="24"/>
      <c r="B973" s="39"/>
      <c r="C973" s="24"/>
      <c r="D973" s="24"/>
      <c r="E973" s="40"/>
      <c r="F973" s="29"/>
      <c r="G973" s="30"/>
      <c r="H973" s="17" t="str">
        <f aca="false">IF(A973="","",A973&amp;"|"&amp;COUNTIF(A$5:A973,A973))</f>
        <v/>
      </c>
      <c r="I973" s="33" t="str">
        <f aca="false">IF(A973="","",IFERROR(INDEX(Items!$B$5:$B$304,MATCH(D973,Items!$A$5:$A$304,0))&amp;"",""))</f>
        <v/>
      </c>
      <c r="J973" s="34" t="str">
        <f aca="false">IF(A973="","",IFERROR(INDEX(Items!$C$5:$C$304,MATCH(D973,Items!$A$5:$A$304,0))&amp;"",""))</f>
        <v/>
      </c>
      <c r="K973" s="35" t="n">
        <f aca="false">IF(A973="",0,IF(ISNUMBER(F973),F973,IFERROR(INDEX(Items!$D$5:$D$304,MATCH(D973,Items!$A$5:$A$304,0)),0)))</f>
        <v>0</v>
      </c>
      <c r="L973" s="35" t="n">
        <f aca="false">ROUND(N(E973)*K973*(1-N(G973)),2)</f>
        <v>0</v>
      </c>
      <c r="M973" s="36" t="n">
        <f aca="false">IF(A973="",0,IFERROR(INDEX(Items!$E$5:$E$304,MATCH(D973,Items!$A$5:$A$304,0)),0))</f>
        <v>0</v>
      </c>
      <c r="N973" s="37" t="str">
        <f aca="false">IF(A973="","",IFERROR(INDEX(Customers!$E$5:$E$204,MATCH(C973,Customers!$A$5:$A$204,0)),"?"))</f>
        <v/>
      </c>
      <c r="O973" s="38" t="str">
        <f aca="false">IF(A973="","",IF(N973=Settings!$B$17,"No","Yes"))</f>
        <v/>
      </c>
      <c r="P973" s="35" t="n">
        <f aca="false">IF(O973="Yes",ROUND(L973*M973,2),0)</f>
        <v>0</v>
      </c>
      <c r="Q973" s="35" t="n">
        <f aca="false">IF(O973="No",ROUND(L973*M973/2,2),0)</f>
        <v>0</v>
      </c>
      <c r="R973" s="35" t="n">
        <f aca="false">Q973</f>
        <v>0</v>
      </c>
      <c r="S973" s="35" t="n">
        <f aca="false">L973+P973+Q973+R973</f>
        <v>0</v>
      </c>
      <c r="T973" s="34" t="str">
        <f aca="false">IF(A973="","",IFERROR(INDEX(Customers!$B$5:$B$204,MATCH(C973,Customers!$A$5:$A$204,0))&amp;"",""))</f>
        <v/>
      </c>
      <c r="U973" s="38" t="str">
        <f aca="false">IF(A973="","",IF(T973&lt;&gt;"","B2B",IF(AND(O973="Yes",SUMIF($A$5:$A$1004,A973,$L$5:$L$1004)+SUMIF($A$5:$A$1004,A973,$P$5:$P$1004)&gt;100000),"B2CL","B2CS")))</f>
        <v/>
      </c>
      <c r="V973" s="17" t="str">
        <f aca="false">IF(A973="","",TEXT(B973,"mmm-yyyy"))</f>
        <v/>
      </c>
    </row>
    <row r="974" customFormat="false" ht="15" hidden="false" customHeight="true" outlineLevel="0" collapsed="false">
      <c r="A974" s="24"/>
      <c r="B974" s="39"/>
      <c r="C974" s="24"/>
      <c r="D974" s="24"/>
      <c r="E974" s="40"/>
      <c r="F974" s="29"/>
      <c r="G974" s="30"/>
      <c r="H974" s="17" t="str">
        <f aca="false">IF(A974="","",A974&amp;"|"&amp;COUNTIF(A$5:A974,A974))</f>
        <v/>
      </c>
      <c r="I974" s="33" t="str">
        <f aca="false">IF(A974="","",IFERROR(INDEX(Items!$B$5:$B$304,MATCH(D974,Items!$A$5:$A$304,0))&amp;"",""))</f>
        <v/>
      </c>
      <c r="J974" s="34" t="str">
        <f aca="false">IF(A974="","",IFERROR(INDEX(Items!$C$5:$C$304,MATCH(D974,Items!$A$5:$A$304,0))&amp;"",""))</f>
        <v/>
      </c>
      <c r="K974" s="35" t="n">
        <f aca="false">IF(A974="",0,IF(ISNUMBER(F974),F974,IFERROR(INDEX(Items!$D$5:$D$304,MATCH(D974,Items!$A$5:$A$304,0)),0)))</f>
        <v>0</v>
      </c>
      <c r="L974" s="35" t="n">
        <f aca="false">ROUND(N(E974)*K974*(1-N(G974)),2)</f>
        <v>0</v>
      </c>
      <c r="M974" s="36" t="n">
        <f aca="false">IF(A974="",0,IFERROR(INDEX(Items!$E$5:$E$304,MATCH(D974,Items!$A$5:$A$304,0)),0))</f>
        <v>0</v>
      </c>
      <c r="N974" s="37" t="str">
        <f aca="false">IF(A974="","",IFERROR(INDEX(Customers!$E$5:$E$204,MATCH(C974,Customers!$A$5:$A$204,0)),"?"))</f>
        <v/>
      </c>
      <c r="O974" s="38" t="str">
        <f aca="false">IF(A974="","",IF(N974=Settings!$B$17,"No","Yes"))</f>
        <v/>
      </c>
      <c r="P974" s="35" t="n">
        <f aca="false">IF(O974="Yes",ROUND(L974*M974,2),0)</f>
        <v>0</v>
      </c>
      <c r="Q974" s="35" t="n">
        <f aca="false">IF(O974="No",ROUND(L974*M974/2,2),0)</f>
        <v>0</v>
      </c>
      <c r="R974" s="35" t="n">
        <f aca="false">Q974</f>
        <v>0</v>
      </c>
      <c r="S974" s="35" t="n">
        <f aca="false">L974+P974+Q974+R974</f>
        <v>0</v>
      </c>
      <c r="T974" s="34" t="str">
        <f aca="false">IF(A974="","",IFERROR(INDEX(Customers!$B$5:$B$204,MATCH(C974,Customers!$A$5:$A$204,0))&amp;"",""))</f>
        <v/>
      </c>
      <c r="U974" s="38" t="str">
        <f aca="false">IF(A974="","",IF(T974&lt;&gt;"","B2B",IF(AND(O974="Yes",SUMIF($A$5:$A$1004,A974,$L$5:$L$1004)+SUMIF($A$5:$A$1004,A974,$P$5:$P$1004)&gt;100000),"B2CL","B2CS")))</f>
        <v/>
      </c>
      <c r="V974" s="17" t="str">
        <f aca="false">IF(A974="","",TEXT(B974,"mmm-yyyy"))</f>
        <v/>
      </c>
    </row>
    <row r="975" customFormat="false" ht="15" hidden="false" customHeight="true" outlineLevel="0" collapsed="false">
      <c r="A975" s="24"/>
      <c r="B975" s="39"/>
      <c r="C975" s="24"/>
      <c r="D975" s="24"/>
      <c r="E975" s="40"/>
      <c r="F975" s="29"/>
      <c r="G975" s="30"/>
      <c r="H975" s="17" t="str">
        <f aca="false">IF(A975="","",A975&amp;"|"&amp;COUNTIF(A$5:A975,A975))</f>
        <v/>
      </c>
      <c r="I975" s="33" t="str">
        <f aca="false">IF(A975="","",IFERROR(INDEX(Items!$B$5:$B$304,MATCH(D975,Items!$A$5:$A$304,0))&amp;"",""))</f>
        <v/>
      </c>
      <c r="J975" s="34" t="str">
        <f aca="false">IF(A975="","",IFERROR(INDEX(Items!$C$5:$C$304,MATCH(D975,Items!$A$5:$A$304,0))&amp;"",""))</f>
        <v/>
      </c>
      <c r="K975" s="35" t="n">
        <f aca="false">IF(A975="",0,IF(ISNUMBER(F975),F975,IFERROR(INDEX(Items!$D$5:$D$304,MATCH(D975,Items!$A$5:$A$304,0)),0)))</f>
        <v>0</v>
      </c>
      <c r="L975" s="35" t="n">
        <f aca="false">ROUND(N(E975)*K975*(1-N(G975)),2)</f>
        <v>0</v>
      </c>
      <c r="M975" s="36" t="n">
        <f aca="false">IF(A975="",0,IFERROR(INDEX(Items!$E$5:$E$304,MATCH(D975,Items!$A$5:$A$304,0)),0))</f>
        <v>0</v>
      </c>
      <c r="N975" s="37" t="str">
        <f aca="false">IF(A975="","",IFERROR(INDEX(Customers!$E$5:$E$204,MATCH(C975,Customers!$A$5:$A$204,0)),"?"))</f>
        <v/>
      </c>
      <c r="O975" s="38" t="str">
        <f aca="false">IF(A975="","",IF(N975=Settings!$B$17,"No","Yes"))</f>
        <v/>
      </c>
      <c r="P975" s="35" t="n">
        <f aca="false">IF(O975="Yes",ROUND(L975*M975,2),0)</f>
        <v>0</v>
      </c>
      <c r="Q975" s="35" t="n">
        <f aca="false">IF(O975="No",ROUND(L975*M975/2,2),0)</f>
        <v>0</v>
      </c>
      <c r="R975" s="35" t="n">
        <f aca="false">Q975</f>
        <v>0</v>
      </c>
      <c r="S975" s="35" t="n">
        <f aca="false">L975+P975+Q975+R975</f>
        <v>0</v>
      </c>
      <c r="T975" s="34" t="str">
        <f aca="false">IF(A975="","",IFERROR(INDEX(Customers!$B$5:$B$204,MATCH(C975,Customers!$A$5:$A$204,0))&amp;"",""))</f>
        <v/>
      </c>
      <c r="U975" s="38" t="str">
        <f aca="false">IF(A975="","",IF(T975&lt;&gt;"","B2B",IF(AND(O975="Yes",SUMIF($A$5:$A$1004,A975,$L$5:$L$1004)+SUMIF($A$5:$A$1004,A975,$P$5:$P$1004)&gt;100000),"B2CL","B2CS")))</f>
        <v/>
      </c>
      <c r="V975" s="17" t="str">
        <f aca="false">IF(A975="","",TEXT(B975,"mmm-yyyy"))</f>
        <v/>
      </c>
    </row>
    <row r="976" customFormat="false" ht="15" hidden="false" customHeight="true" outlineLevel="0" collapsed="false">
      <c r="A976" s="24"/>
      <c r="B976" s="39"/>
      <c r="C976" s="24"/>
      <c r="D976" s="24"/>
      <c r="E976" s="40"/>
      <c r="F976" s="29"/>
      <c r="G976" s="30"/>
      <c r="H976" s="17" t="str">
        <f aca="false">IF(A976="","",A976&amp;"|"&amp;COUNTIF(A$5:A976,A976))</f>
        <v/>
      </c>
      <c r="I976" s="33" t="str">
        <f aca="false">IF(A976="","",IFERROR(INDEX(Items!$B$5:$B$304,MATCH(D976,Items!$A$5:$A$304,0))&amp;"",""))</f>
        <v/>
      </c>
      <c r="J976" s="34" t="str">
        <f aca="false">IF(A976="","",IFERROR(INDEX(Items!$C$5:$C$304,MATCH(D976,Items!$A$5:$A$304,0))&amp;"",""))</f>
        <v/>
      </c>
      <c r="K976" s="35" t="n">
        <f aca="false">IF(A976="",0,IF(ISNUMBER(F976),F976,IFERROR(INDEX(Items!$D$5:$D$304,MATCH(D976,Items!$A$5:$A$304,0)),0)))</f>
        <v>0</v>
      </c>
      <c r="L976" s="35" t="n">
        <f aca="false">ROUND(N(E976)*K976*(1-N(G976)),2)</f>
        <v>0</v>
      </c>
      <c r="M976" s="36" t="n">
        <f aca="false">IF(A976="",0,IFERROR(INDEX(Items!$E$5:$E$304,MATCH(D976,Items!$A$5:$A$304,0)),0))</f>
        <v>0</v>
      </c>
      <c r="N976" s="37" t="str">
        <f aca="false">IF(A976="","",IFERROR(INDEX(Customers!$E$5:$E$204,MATCH(C976,Customers!$A$5:$A$204,0)),"?"))</f>
        <v/>
      </c>
      <c r="O976" s="38" t="str">
        <f aca="false">IF(A976="","",IF(N976=Settings!$B$17,"No","Yes"))</f>
        <v/>
      </c>
      <c r="P976" s="35" t="n">
        <f aca="false">IF(O976="Yes",ROUND(L976*M976,2),0)</f>
        <v>0</v>
      </c>
      <c r="Q976" s="35" t="n">
        <f aca="false">IF(O976="No",ROUND(L976*M976/2,2),0)</f>
        <v>0</v>
      </c>
      <c r="R976" s="35" t="n">
        <f aca="false">Q976</f>
        <v>0</v>
      </c>
      <c r="S976" s="35" t="n">
        <f aca="false">L976+P976+Q976+R976</f>
        <v>0</v>
      </c>
      <c r="T976" s="34" t="str">
        <f aca="false">IF(A976="","",IFERROR(INDEX(Customers!$B$5:$B$204,MATCH(C976,Customers!$A$5:$A$204,0))&amp;"",""))</f>
        <v/>
      </c>
      <c r="U976" s="38" t="str">
        <f aca="false">IF(A976="","",IF(T976&lt;&gt;"","B2B",IF(AND(O976="Yes",SUMIF($A$5:$A$1004,A976,$L$5:$L$1004)+SUMIF($A$5:$A$1004,A976,$P$5:$P$1004)&gt;100000),"B2CL","B2CS")))</f>
        <v/>
      </c>
      <c r="V976" s="17" t="str">
        <f aca="false">IF(A976="","",TEXT(B976,"mmm-yyyy"))</f>
        <v/>
      </c>
    </row>
    <row r="977" customFormat="false" ht="15" hidden="false" customHeight="true" outlineLevel="0" collapsed="false">
      <c r="A977" s="24"/>
      <c r="B977" s="39"/>
      <c r="C977" s="24"/>
      <c r="D977" s="24"/>
      <c r="E977" s="40"/>
      <c r="F977" s="29"/>
      <c r="G977" s="30"/>
      <c r="H977" s="17" t="str">
        <f aca="false">IF(A977="","",A977&amp;"|"&amp;COUNTIF(A$5:A977,A977))</f>
        <v/>
      </c>
      <c r="I977" s="33" t="str">
        <f aca="false">IF(A977="","",IFERROR(INDEX(Items!$B$5:$B$304,MATCH(D977,Items!$A$5:$A$304,0))&amp;"",""))</f>
        <v/>
      </c>
      <c r="J977" s="34" t="str">
        <f aca="false">IF(A977="","",IFERROR(INDEX(Items!$C$5:$C$304,MATCH(D977,Items!$A$5:$A$304,0))&amp;"",""))</f>
        <v/>
      </c>
      <c r="K977" s="35" t="n">
        <f aca="false">IF(A977="",0,IF(ISNUMBER(F977),F977,IFERROR(INDEX(Items!$D$5:$D$304,MATCH(D977,Items!$A$5:$A$304,0)),0)))</f>
        <v>0</v>
      </c>
      <c r="L977" s="35" t="n">
        <f aca="false">ROUND(N(E977)*K977*(1-N(G977)),2)</f>
        <v>0</v>
      </c>
      <c r="M977" s="36" t="n">
        <f aca="false">IF(A977="",0,IFERROR(INDEX(Items!$E$5:$E$304,MATCH(D977,Items!$A$5:$A$304,0)),0))</f>
        <v>0</v>
      </c>
      <c r="N977" s="37" t="str">
        <f aca="false">IF(A977="","",IFERROR(INDEX(Customers!$E$5:$E$204,MATCH(C977,Customers!$A$5:$A$204,0)),"?"))</f>
        <v/>
      </c>
      <c r="O977" s="38" t="str">
        <f aca="false">IF(A977="","",IF(N977=Settings!$B$17,"No","Yes"))</f>
        <v/>
      </c>
      <c r="P977" s="35" t="n">
        <f aca="false">IF(O977="Yes",ROUND(L977*M977,2),0)</f>
        <v>0</v>
      </c>
      <c r="Q977" s="35" t="n">
        <f aca="false">IF(O977="No",ROUND(L977*M977/2,2),0)</f>
        <v>0</v>
      </c>
      <c r="R977" s="35" t="n">
        <f aca="false">Q977</f>
        <v>0</v>
      </c>
      <c r="S977" s="35" t="n">
        <f aca="false">L977+P977+Q977+R977</f>
        <v>0</v>
      </c>
      <c r="T977" s="34" t="str">
        <f aca="false">IF(A977="","",IFERROR(INDEX(Customers!$B$5:$B$204,MATCH(C977,Customers!$A$5:$A$204,0))&amp;"",""))</f>
        <v/>
      </c>
      <c r="U977" s="38" t="str">
        <f aca="false">IF(A977="","",IF(T977&lt;&gt;"","B2B",IF(AND(O977="Yes",SUMIF($A$5:$A$1004,A977,$L$5:$L$1004)+SUMIF($A$5:$A$1004,A977,$P$5:$P$1004)&gt;100000),"B2CL","B2CS")))</f>
        <v/>
      </c>
      <c r="V977" s="17" t="str">
        <f aca="false">IF(A977="","",TEXT(B977,"mmm-yyyy"))</f>
        <v/>
      </c>
    </row>
    <row r="978" customFormat="false" ht="15" hidden="false" customHeight="true" outlineLevel="0" collapsed="false">
      <c r="A978" s="24"/>
      <c r="B978" s="39"/>
      <c r="C978" s="24"/>
      <c r="D978" s="24"/>
      <c r="E978" s="40"/>
      <c r="F978" s="29"/>
      <c r="G978" s="30"/>
      <c r="H978" s="17" t="str">
        <f aca="false">IF(A978="","",A978&amp;"|"&amp;COUNTIF(A$5:A978,A978))</f>
        <v/>
      </c>
      <c r="I978" s="33" t="str">
        <f aca="false">IF(A978="","",IFERROR(INDEX(Items!$B$5:$B$304,MATCH(D978,Items!$A$5:$A$304,0))&amp;"",""))</f>
        <v/>
      </c>
      <c r="J978" s="34" t="str">
        <f aca="false">IF(A978="","",IFERROR(INDEX(Items!$C$5:$C$304,MATCH(D978,Items!$A$5:$A$304,0))&amp;"",""))</f>
        <v/>
      </c>
      <c r="K978" s="35" t="n">
        <f aca="false">IF(A978="",0,IF(ISNUMBER(F978),F978,IFERROR(INDEX(Items!$D$5:$D$304,MATCH(D978,Items!$A$5:$A$304,0)),0)))</f>
        <v>0</v>
      </c>
      <c r="L978" s="35" t="n">
        <f aca="false">ROUND(N(E978)*K978*(1-N(G978)),2)</f>
        <v>0</v>
      </c>
      <c r="M978" s="36" t="n">
        <f aca="false">IF(A978="",0,IFERROR(INDEX(Items!$E$5:$E$304,MATCH(D978,Items!$A$5:$A$304,0)),0))</f>
        <v>0</v>
      </c>
      <c r="N978" s="37" t="str">
        <f aca="false">IF(A978="","",IFERROR(INDEX(Customers!$E$5:$E$204,MATCH(C978,Customers!$A$5:$A$204,0)),"?"))</f>
        <v/>
      </c>
      <c r="O978" s="38" t="str">
        <f aca="false">IF(A978="","",IF(N978=Settings!$B$17,"No","Yes"))</f>
        <v/>
      </c>
      <c r="P978" s="35" t="n">
        <f aca="false">IF(O978="Yes",ROUND(L978*M978,2),0)</f>
        <v>0</v>
      </c>
      <c r="Q978" s="35" t="n">
        <f aca="false">IF(O978="No",ROUND(L978*M978/2,2),0)</f>
        <v>0</v>
      </c>
      <c r="R978" s="35" t="n">
        <f aca="false">Q978</f>
        <v>0</v>
      </c>
      <c r="S978" s="35" t="n">
        <f aca="false">L978+P978+Q978+R978</f>
        <v>0</v>
      </c>
      <c r="T978" s="34" t="str">
        <f aca="false">IF(A978="","",IFERROR(INDEX(Customers!$B$5:$B$204,MATCH(C978,Customers!$A$5:$A$204,0))&amp;"",""))</f>
        <v/>
      </c>
      <c r="U978" s="38" t="str">
        <f aca="false">IF(A978="","",IF(T978&lt;&gt;"","B2B",IF(AND(O978="Yes",SUMIF($A$5:$A$1004,A978,$L$5:$L$1004)+SUMIF($A$5:$A$1004,A978,$P$5:$P$1004)&gt;100000),"B2CL","B2CS")))</f>
        <v/>
      </c>
      <c r="V978" s="17" t="str">
        <f aca="false">IF(A978="","",TEXT(B978,"mmm-yyyy"))</f>
        <v/>
      </c>
    </row>
    <row r="979" customFormat="false" ht="15" hidden="false" customHeight="true" outlineLevel="0" collapsed="false">
      <c r="A979" s="24"/>
      <c r="B979" s="39"/>
      <c r="C979" s="24"/>
      <c r="D979" s="24"/>
      <c r="E979" s="40"/>
      <c r="F979" s="29"/>
      <c r="G979" s="30"/>
      <c r="H979" s="17" t="str">
        <f aca="false">IF(A979="","",A979&amp;"|"&amp;COUNTIF(A$5:A979,A979))</f>
        <v/>
      </c>
      <c r="I979" s="33" t="str">
        <f aca="false">IF(A979="","",IFERROR(INDEX(Items!$B$5:$B$304,MATCH(D979,Items!$A$5:$A$304,0))&amp;"",""))</f>
        <v/>
      </c>
      <c r="J979" s="34" t="str">
        <f aca="false">IF(A979="","",IFERROR(INDEX(Items!$C$5:$C$304,MATCH(D979,Items!$A$5:$A$304,0))&amp;"",""))</f>
        <v/>
      </c>
      <c r="K979" s="35" t="n">
        <f aca="false">IF(A979="",0,IF(ISNUMBER(F979),F979,IFERROR(INDEX(Items!$D$5:$D$304,MATCH(D979,Items!$A$5:$A$304,0)),0)))</f>
        <v>0</v>
      </c>
      <c r="L979" s="35" t="n">
        <f aca="false">ROUND(N(E979)*K979*(1-N(G979)),2)</f>
        <v>0</v>
      </c>
      <c r="M979" s="36" t="n">
        <f aca="false">IF(A979="",0,IFERROR(INDEX(Items!$E$5:$E$304,MATCH(D979,Items!$A$5:$A$304,0)),0))</f>
        <v>0</v>
      </c>
      <c r="N979" s="37" t="str">
        <f aca="false">IF(A979="","",IFERROR(INDEX(Customers!$E$5:$E$204,MATCH(C979,Customers!$A$5:$A$204,0)),"?"))</f>
        <v/>
      </c>
      <c r="O979" s="38" t="str">
        <f aca="false">IF(A979="","",IF(N979=Settings!$B$17,"No","Yes"))</f>
        <v/>
      </c>
      <c r="P979" s="35" t="n">
        <f aca="false">IF(O979="Yes",ROUND(L979*M979,2),0)</f>
        <v>0</v>
      </c>
      <c r="Q979" s="35" t="n">
        <f aca="false">IF(O979="No",ROUND(L979*M979/2,2),0)</f>
        <v>0</v>
      </c>
      <c r="R979" s="35" t="n">
        <f aca="false">Q979</f>
        <v>0</v>
      </c>
      <c r="S979" s="35" t="n">
        <f aca="false">L979+P979+Q979+R979</f>
        <v>0</v>
      </c>
      <c r="T979" s="34" t="str">
        <f aca="false">IF(A979="","",IFERROR(INDEX(Customers!$B$5:$B$204,MATCH(C979,Customers!$A$5:$A$204,0))&amp;"",""))</f>
        <v/>
      </c>
      <c r="U979" s="38" t="str">
        <f aca="false">IF(A979="","",IF(T979&lt;&gt;"","B2B",IF(AND(O979="Yes",SUMIF($A$5:$A$1004,A979,$L$5:$L$1004)+SUMIF($A$5:$A$1004,A979,$P$5:$P$1004)&gt;100000),"B2CL","B2CS")))</f>
        <v/>
      </c>
      <c r="V979" s="17" t="str">
        <f aca="false">IF(A979="","",TEXT(B979,"mmm-yyyy"))</f>
        <v/>
      </c>
    </row>
    <row r="980" customFormat="false" ht="15" hidden="false" customHeight="true" outlineLevel="0" collapsed="false">
      <c r="A980" s="24"/>
      <c r="B980" s="39"/>
      <c r="C980" s="24"/>
      <c r="D980" s="24"/>
      <c r="E980" s="40"/>
      <c r="F980" s="29"/>
      <c r="G980" s="30"/>
      <c r="H980" s="17" t="str">
        <f aca="false">IF(A980="","",A980&amp;"|"&amp;COUNTIF(A$5:A980,A980))</f>
        <v/>
      </c>
      <c r="I980" s="33" t="str">
        <f aca="false">IF(A980="","",IFERROR(INDEX(Items!$B$5:$B$304,MATCH(D980,Items!$A$5:$A$304,0))&amp;"",""))</f>
        <v/>
      </c>
      <c r="J980" s="34" t="str">
        <f aca="false">IF(A980="","",IFERROR(INDEX(Items!$C$5:$C$304,MATCH(D980,Items!$A$5:$A$304,0))&amp;"",""))</f>
        <v/>
      </c>
      <c r="K980" s="35" t="n">
        <f aca="false">IF(A980="",0,IF(ISNUMBER(F980),F980,IFERROR(INDEX(Items!$D$5:$D$304,MATCH(D980,Items!$A$5:$A$304,0)),0)))</f>
        <v>0</v>
      </c>
      <c r="L980" s="35" t="n">
        <f aca="false">ROUND(N(E980)*K980*(1-N(G980)),2)</f>
        <v>0</v>
      </c>
      <c r="M980" s="36" t="n">
        <f aca="false">IF(A980="",0,IFERROR(INDEX(Items!$E$5:$E$304,MATCH(D980,Items!$A$5:$A$304,0)),0))</f>
        <v>0</v>
      </c>
      <c r="N980" s="37" t="str">
        <f aca="false">IF(A980="","",IFERROR(INDEX(Customers!$E$5:$E$204,MATCH(C980,Customers!$A$5:$A$204,0)),"?"))</f>
        <v/>
      </c>
      <c r="O980" s="38" t="str">
        <f aca="false">IF(A980="","",IF(N980=Settings!$B$17,"No","Yes"))</f>
        <v/>
      </c>
      <c r="P980" s="35" t="n">
        <f aca="false">IF(O980="Yes",ROUND(L980*M980,2),0)</f>
        <v>0</v>
      </c>
      <c r="Q980" s="35" t="n">
        <f aca="false">IF(O980="No",ROUND(L980*M980/2,2),0)</f>
        <v>0</v>
      </c>
      <c r="R980" s="35" t="n">
        <f aca="false">Q980</f>
        <v>0</v>
      </c>
      <c r="S980" s="35" t="n">
        <f aca="false">L980+P980+Q980+R980</f>
        <v>0</v>
      </c>
      <c r="T980" s="34" t="str">
        <f aca="false">IF(A980="","",IFERROR(INDEX(Customers!$B$5:$B$204,MATCH(C980,Customers!$A$5:$A$204,0))&amp;"",""))</f>
        <v/>
      </c>
      <c r="U980" s="38" t="str">
        <f aca="false">IF(A980="","",IF(T980&lt;&gt;"","B2B",IF(AND(O980="Yes",SUMIF($A$5:$A$1004,A980,$L$5:$L$1004)+SUMIF($A$5:$A$1004,A980,$P$5:$P$1004)&gt;100000),"B2CL","B2CS")))</f>
        <v/>
      </c>
      <c r="V980" s="17" t="str">
        <f aca="false">IF(A980="","",TEXT(B980,"mmm-yyyy"))</f>
        <v/>
      </c>
    </row>
    <row r="981" customFormat="false" ht="15" hidden="false" customHeight="true" outlineLevel="0" collapsed="false">
      <c r="A981" s="24"/>
      <c r="B981" s="39"/>
      <c r="C981" s="24"/>
      <c r="D981" s="24"/>
      <c r="E981" s="40"/>
      <c r="F981" s="29"/>
      <c r="G981" s="30"/>
      <c r="H981" s="17" t="str">
        <f aca="false">IF(A981="","",A981&amp;"|"&amp;COUNTIF(A$5:A981,A981))</f>
        <v/>
      </c>
      <c r="I981" s="33" t="str">
        <f aca="false">IF(A981="","",IFERROR(INDEX(Items!$B$5:$B$304,MATCH(D981,Items!$A$5:$A$304,0))&amp;"",""))</f>
        <v/>
      </c>
      <c r="J981" s="34" t="str">
        <f aca="false">IF(A981="","",IFERROR(INDEX(Items!$C$5:$C$304,MATCH(D981,Items!$A$5:$A$304,0))&amp;"",""))</f>
        <v/>
      </c>
      <c r="K981" s="35" t="n">
        <f aca="false">IF(A981="",0,IF(ISNUMBER(F981),F981,IFERROR(INDEX(Items!$D$5:$D$304,MATCH(D981,Items!$A$5:$A$304,0)),0)))</f>
        <v>0</v>
      </c>
      <c r="L981" s="35" t="n">
        <f aca="false">ROUND(N(E981)*K981*(1-N(G981)),2)</f>
        <v>0</v>
      </c>
      <c r="M981" s="36" t="n">
        <f aca="false">IF(A981="",0,IFERROR(INDEX(Items!$E$5:$E$304,MATCH(D981,Items!$A$5:$A$304,0)),0))</f>
        <v>0</v>
      </c>
      <c r="N981" s="37" t="str">
        <f aca="false">IF(A981="","",IFERROR(INDEX(Customers!$E$5:$E$204,MATCH(C981,Customers!$A$5:$A$204,0)),"?"))</f>
        <v/>
      </c>
      <c r="O981" s="38" t="str">
        <f aca="false">IF(A981="","",IF(N981=Settings!$B$17,"No","Yes"))</f>
        <v/>
      </c>
      <c r="P981" s="35" t="n">
        <f aca="false">IF(O981="Yes",ROUND(L981*M981,2),0)</f>
        <v>0</v>
      </c>
      <c r="Q981" s="35" t="n">
        <f aca="false">IF(O981="No",ROUND(L981*M981/2,2),0)</f>
        <v>0</v>
      </c>
      <c r="R981" s="35" t="n">
        <f aca="false">Q981</f>
        <v>0</v>
      </c>
      <c r="S981" s="35" t="n">
        <f aca="false">L981+P981+Q981+R981</f>
        <v>0</v>
      </c>
      <c r="T981" s="34" t="str">
        <f aca="false">IF(A981="","",IFERROR(INDEX(Customers!$B$5:$B$204,MATCH(C981,Customers!$A$5:$A$204,0))&amp;"",""))</f>
        <v/>
      </c>
      <c r="U981" s="38" t="str">
        <f aca="false">IF(A981="","",IF(T981&lt;&gt;"","B2B",IF(AND(O981="Yes",SUMIF($A$5:$A$1004,A981,$L$5:$L$1004)+SUMIF($A$5:$A$1004,A981,$P$5:$P$1004)&gt;100000),"B2CL","B2CS")))</f>
        <v/>
      </c>
      <c r="V981" s="17" t="str">
        <f aca="false">IF(A981="","",TEXT(B981,"mmm-yyyy"))</f>
        <v/>
      </c>
    </row>
    <row r="982" customFormat="false" ht="15" hidden="false" customHeight="true" outlineLevel="0" collapsed="false">
      <c r="A982" s="24"/>
      <c r="B982" s="39"/>
      <c r="C982" s="24"/>
      <c r="D982" s="24"/>
      <c r="E982" s="40"/>
      <c r="F982" s="29"/>
      <c r="G982" s="30"/>
      <c r="H982" s="17" t="str">
        <f aca="false">IF(A982="","",A982&amp;"|"&amp;COUNTIF(A$5:A982,A982))</f>
        <v/>
      </c>
      <c r="I982" s="33" t="str">
        <f aca="false">IF(A982="","",IFERROR(INDEX(Items!$B$5:$B$304,MATCH(D982,Items!$A$5:$A$304,0))&amp;"",""))</f>
        <v/>
      </c>
      <c r="J982" s="34" t="str">
        <f aca="false">IF(A982="","",IFERROR(INDEX(Items!$C$5:$C$304,MATCH(D982,Items!$A$5:$A$304,0))&amp;"",""))</f>
        <v/>
      </c>
      <c r="K982" s="35" t="n">
        <f aca="false">IF(A982="",0,IF(ISNUMBER(F982),F982,IFERROR(INDEX(Items!$D$5:$D$304,MATCH(D982,Items!$A$5:$A$304,0)),0)))</f>
        <v>0</v>
      </c>
      <c r="L982" s="35" t="n">
        <f aca="false">ROUND(N(E982)*K982*(1-N(G982)),2)</f>
        <v>0</v>
      </c>
      <c r="M982" s="36" t="n">
        <f aca="false">IF(A982="",0,IFERROR(INDEX(Items!$E$5:$E$304,MATCH(D982,Items!$A$5:$A$304,0)),0))</f>
        <v>0</v>
      </c>
      <c r="N982" s="37" t="str">
        <f aca="false">IF(A982="","",IFERROR(INDEX(Customers!$E$5:$E$204,MATCH(C982,Customers!$A$5:$A$204,0)),"?"))</f>
        <v/>
      </c>
      <c r="O982" s="38" t="str">
        <f aca="false">IF(A982="","",IF(N982=Settings!$B$17,"No","Yes"))</f>
        <v/>
      </c>
      <c r="P982" s="35" t="n">
        <f aca="false">IF(O982="Yes",ROUND(L982*M982,2),0)</f>
        <v>0</v>
      </c>
      <c r="Q982" s="35" t="n">
        <f aca="false">IF(O982="No",ROUND(L982*M982/2,2),0)</f>
        <v>0</v>
      </c>
      <c r="R982" s="35" t="n">
        <f aca="false">Q982</f>
        <v>0</v>
      </c>
      <c r="S982" s="35" t="n">
        <f aca="false">L982+P982+Q982+R982</f>
        <v>0</v>
      </c>
      <c r="T982" s="34" t="str">
        <f aca="false">IF(A982="","",IFERROR(INDEX(Customers!$B$5:$B$204,MATCH(C982,Customers!$A$5:$A$204,0))&amp;"",""))</f>
        <v/>
      </c>
      <c r="U982" s="38" t="str">
        <f aca="false">IF(A982="","",IF(T982&lt;&gt;"","B2B",IF(AND(O982="Yes",SUMIF($A$5:$A$1004,A982,$L$5:$L$1004)+SUMIF($A$5:$A$1004,A982,$P$5:$P$1004)&gt;100000),"B2CL","B2CS")))</f>
        <v/>
      </c>
      <c r="V982" s="17" t="str">
        <f aca="false">IF(A982="","",TEXT(B982,"mmm-yyyy"))</f>
        <v/>
      </c>
    </row>
    <row r="983" customFormat="false" ht="15" hidden="false" customHeight="true" outlineLevel="0" collapsed="false">
      <c r="A983" s="24"/>
      <c r="B983" s="39"/>
      <c r="C983" s="24"/>
      <c r="D983" s="24"/>
      <c r="E983" s="40"/>
      <c r="F983" s="29"/>
      <c r="G983" s="30"/>
      <c r="H983" s="17" t="str">
        <f aca="false">IF(A983="","",A983&amp;"|"&amp;COUNTIF(A$5:A983,A983))</f>
        <v/>
      </c>
      <c r="I983" s="33" t="str">
        <f aca="false">IF(A983="","",IFERROR(INDEX(Items!$B$5:$B$304,MATCH(D983,Items!$A$5:$A$304,0))&amp;"",""))</f>
        <v/>
      </c>
      <c r="J983" s="34" t="str">
        <f aca="false">IF(A983="","",IFERROR(INDEX(Items!$C$5:$C$304,MATCH(D983,Items!$A$5:$A$304,0))&amp;"",""))</f>
        <v/>
      </c>
      <c r="K983" s="35" t="n">
        <f aca="false">IF(A983="",0,IF(ISNUMBER(F983),F983,IFERROR(INDEX(Items!$D$5:$D$304,MATCH(D983,Items!$A$5:$A$304,0)),0)))</f>
        <v>0</v>
      </c>
      <c r="L983" s="35" t="n">
        <f aca="false">ROUND(N(E983)*K983*(1-N(G983)),2)</f>
        <v>0</v>
      </c>
      <c r="M983" s="36" t="n">
        <f aca="false">IF(A983="",0,IFERROR(INDEX(Items!$E$5:$E$304,MATCH(D983,Items!$A$5:$A$304,0)),0))</f>
        <v>0</v>
      </c>
      <c r="N983" s="37" t="str">
        <f aca="false">IF(A983="","",IFERROR(INDEX(Customers!$E$5:$E$204,MATCH(C983,Customers!$A$5:$A$204,0)),"?"))</f>
        <v/>
      </c>
      <c r="O983" s="38" t="str">
        <f aca="false">IF(A983="","",IF(N983=Settings!$B$17,"No","Yes"))</f>
        <v/>
      </c>
      <c r="P983" s="35" t="n">
        <f aca="false">IF(O983="Yes",ROUND(L983*M983,2),0)</f>
        <v>0</v>
      </c>
      <c r="Q983" s="35" t="n">
        <f aca="false">IF(O983="No",ROUND(L983*M983/2,2),0)</f>
        <v>0</v>
      </c>
      <c r="R983" s="35" t="n">
        <f aca="false">Q983</f>
        <v>0</v>
      </c>
      <c r="S983" s="35" t="n">
        <f aca="false">L983+P983+Q983+R983</f>
        <v>0</v>
      </c>
      <c r="T983" s="34" t="str">
        <f aca="false">IF(A983="","",IFERROR(INDEX(Customers!$B$5:$B$204,MATCH(C983,Customers!$A$5:$A$204,0))&amp;"",""))</f>
        <v/>
      </c>
      <c r="U983" s="38" t="str">
        <f aca="false">IF(A983="","",IF(T983&lt;&gt;"","B2B",IF(AND(O983="Yes",SUMIF($A$5:$A$1004,A983,$L$5:$L$1004)+SUMIF($A$5:$A$1004,A983,$P$5:$P$1004)&gt;100000),"B2CL","B2CS")))</f>
        <v/>
      </c>
      <c r="V983" s="17" t="str">
        <f aca="false">IF(A983="","",TEXT(B983,"mmm-yyyy"))</f>
        <v/>
      </c>
    </row>
    <row r="984" customFormat="false" ht="15" hidden="false" customHeight="true" outlineLevel="0" collapsed="false">
      <c r="A984" s="24"/>
      <c r="B984" s="39"/>
      <c r="C984" s="24"/>
      <c r="D984" s="24"/>
      <c r="E984" s="40"/>
      <c r="F984" s="29"/>
      <c r="G984" s="30"/>
      <c r="H984" s="17" t="str">
        <f aca="false">IF(A984="","",A984&amp;"|"&amp;COUNTIF(A$5:A984,A984))</f>
        <v/>
      </c>
      <c r="I984" s="33" t="str">
        <f aca="false">IF(A984="","",IFERROR(INDEX(Items!$B$5:$B$304,MATCH(D984,Items!$A$5:$A$304,0))&amp;"",""))</f>
        <v/>
      </c>
      <c r="J984" s="34" t="str">
        <f aca="false">IF(A984="","",IFERROR(INDEX(Items!$C$5:$C$304,MATCH(D984,Items!$A$5:$A$304,0))&amp;"",""))</f>
        <v/>
      </c>
      <c r="K984" s="35" t="n">
        <f aca="false">IF(A984="",0,IF(ISNUMBER(F984),F984,IFERROR(INDEX(Items!$D$5:$D$304,MATCH(D984,Items!$A$5:$A$304,0)),0)))</f>
        <v>0</v>
      </c>
      <c r="L984" s="35" t="n">
        <f aca="false">ROUND(N(E984)*K984*(1-N(G984)),2)</f>
        <v>0</v>
      </c>
      <c r="M984" s="36" t="n">
        <f aca="false">IF(A984="",0,IFERROR(INDEX(Items!$E$5:$E$304,MATCH(D984,Items!$A$5:$A$304,0)),0))</f>
        <v>0</v>
      </c>
      <c r="N984" s="37" t="str">
        <f aca="false">IF(A984="","",IFERROR(INDEX(Customers!$E$5:$E$204,MATCH(C984,Customers!$A$5:$A$204,0)),"?"))</f>
        <v/>
      </c>
      <c r="O984" s="38" t="str">
        <f aca="false">IF(A984="","",IF(N984=Settings!$B$17,"No","Yes"))</f>
        <v/>
      </c>
      <c r="P984" s="35" t="n">
        <f aca="false">IF(O984="Yes",ROUND(L984*M984,2),0)</f>
        <v>0</v>
      </c>
      <c r="Q984" s="35" t="n">
        <f aca="false">IF(O984="No",ROUND(L984*M984/2,2),0)</f>
        <v>0</v>
      </c>
      <c r="R984" s="35" t="n">
        <f aca="false">Q984</f>
        <v>0</v>
      </c>
      <c r="S984" s="35" t="n">
        <f aca="false">L984+P984+Q984+R984</f>
        <v>0</v>
      </c>
      <c r="T984" s="34" t="str">
        <f aca="false">IF(A984="","",IFERROR(INDEX(Customers!$B$5:$B$204,MATCH(C984,Customers!$A$5:$A$204,0))&amp;"",""))</f>
        <v/>
      </c>
      <c r="U984" s="38" t="str">
        <f aca="false">IF(A984="","",IF(T984&lt;&gt;"","B2B",IF(AND(O984="Yes",SUMIF($A$5:$A$1004,A984,$L$5:$L$1004)+SUMIF($A$5:$A$1004,A984,$P$5:$P$1004)&gt;100000),"B2CL","B2CS")))</f>
        <v/>
      </c>
      <c r="V984" s="17" t="str">
        <f aca="false">IF(A984="","",TEXT(B984,"mmm-yyyy"))</f>
        <v/>
      </c>
    </row>
    <row r="985" customFormat="false" ht="15" hidden="false" customHeight="true" outlineLevel="0" collapsed="false">
      <c r="A985" s="24"/>
      <c r="B985" s="39"/>
      <c r="C985" s="24"/>
      <c r="D985" s="24"/>
      <c r="E985" s="40"/>
      <c r="F985" s="29"/>
      <c r="G985" s="30"/>
      <c r="H985" s="17" t="str">
        <f aca="false">IF(A985="","",A985&amp;"|"&amp;COUNTIF(A$5:A985,A985))</f>
        <v/>
      </c>
      <c r="I985" s="33" t="str">
        <f aca="false">IF(A985="","",IFERROR(INDEX(Items!$B$5:$B$304,MATCH(D985,Items!$A$5:$A$304,0))&amp;"",""))</f>
        <v/>
      </c>
      <c r="J985" s="34" t="str">
        <f aca="false">IF(A985="","",IFERROR(INDEX(Items!$C$5:$C$304,MATCH(D985,Items!$A$5:$A$304,0))&amp;"",""))</f>
        <v/>
      </c>
      <c r="K985" s="35" t="n">
        <f aca="false">IF(A985="",0,IF(ISNUMBER(F985),F985,IFERROR(INDEX(Items!$D$5:$D$304,MATCH(D985,Items!$A$5:$A$304,0)),0)))</f>
        <v>0</v>
      </c>
      <c r="L985" s="35" t="n">
        <f aca="false">ROUND(N(E985)*K985*(1-N(G985)),2)</f>
        <v>0</v>
      </c>
      <c r="M985" s="36" t="n">
        <f aca="false">IF(A985="",0,IFERROR(INDEX(Items!$E$5:$E$304,MATCH(D985,Items!$A$5:$A$304,0)),0))</f>
        <v>0</v>
      </c>
      <c r="N985" s="37" t="str">
        <f aca="false">IF(A985="","",IFERROR(INDEX(Customers!$E$5:$E$204,MATCH(C985,Customers!$A$5:$A$204,0)),"?"))</f>
        <v/>
      </c>
      <c r="O985" s="38" t="str">
        <f aca="false">IF(A985="","",IF(N985=Settings!$B$17,"No","Yes"))</f>
        <v/>
      </c>
      <c r="P985" s="35" t="n">
        <f aca="false">IF(O985="Yes",ROUND(L985*M985,2),0)</f>
        <v>0</v>
      </c>
      <c r="Q985" s="35" t="n">
        <f aca="false">IF(O985="No",ROUND(L985*M985/2,2),0)</f>
        <v>0</v>
      </c>
      <c r="R985" s="35" t="n">
        <f aca="false">Q985</f>
        <v>0</v>
      </c>
      <c r="S985" s="35" t="n">
        <f aca="false">L985+P985+Q985+R985</f>
        <v>0</v>
      </c>
      <c r="T985" s="34" t="str">
        <f aca="false">IF(A985="","",IFERROR(INDEX(Customers!$B$5:$B$204,MATCH(C985,Customers!$A$5:$A$204,0))&amp;"",""))</f>
        <v/>
      </c>
      <c r="U985" s="38" t="str">
        <f aca="false">IF(A985="","",IF(T985&lt;&gt;"","B2B",IF(AND(O985="Yes",SUMIF($A$5:$A$1004,A985,$L$5:$L$1004)+SUMIF($A$5:$A$1004,A985,$P$5:$P$1004)&gt;100000),"B2CL","B2CS")))</f>
        <v/>
      </c>
      <c r="V985" s="17" t="str">
        <f aca="false">IF(A985="","",TEXT(B985,"mmm-yyyy"))</f>
        <v/>
      </c>
    </row>
    <row r="986" customFormat="false" ht="15" hidden="false" customHeight="true" outlineLevel="0" collapsed="false">
      <c r="A986" s="24"/>
      <c r="B986" s="39"/>
      <c r="C986" s="24"/>
      <c r="D986" s="24"/>
      <c r="E986" s="40"/>
      <c r="F986" s="29"/>
      <c r="G986" s="30"/>
      <c r="H986" s="17" t="str">
        <f aca="false">IF(A986="","",A986&amp;"|"&amp;COUNTIF(A$5:A986,A986))</f>
        <v/>
      </c>
      <c r="I986" s="33" t="str">
        <f aca="false">IF(A986="","",IFERROR(INDEX(Items!$B$5:$B$304,MATCH(D986,Items!$A$5:$A$304,0))&amp;"",""))</f>
        <v/>
      </c>
      <c r="J986" s="34" t="str">
        <f aca="false">IF(A986="","",IFERROR(INDEX(Items!$C$5:$C$304,MATCH(D986,Items!$A$5:$A$304,0))&amp;"",""))</f>
        <v/>
      </c>
      <c r="K986" s="35" t="n">
        <f aca="false">IF(A986="",0,IF(ISNUMBER(F986),F986,IFERROR(INDEX(Items!$D$5:$D$304,MATCH(D986,Items!$A$5:$A$304,0)),0)))</f>
        <v>0</v>
      </c>
      <c r="L986" s="35" t="n">
        <f aca="false">ROUND(N(E986)*K986*(1-N(G986)),2)</f>
        <v>0</v>
      </c>
      <c r="M986" s="36" t="n">
        <f aca="false">IF(A986="",0,IFERROR(INDEX(Items!$E$5:$E$304,MATCH(D986,Items!$A$5:$A$304,0)),0))</f>
        <v>0</v>
      </c>
      <c r="N986" s="37" t="str">
        <f aca="false">IF(A986="","",IFERROR(INDEX(Customers!$E$5:$E$204,MATCH(C986,Customers!$A$5:$A$204,0)),"?"))</f>
        <v/>
      </c>
      <c r="O986" s="38" t="str">
        <f aca="false">IF(A986="","",IF(N986=Settings!$B$17,"No","Yes"))</f>
        <v/>
      </c>
      <c r="P986" s="35" t="n">
        <f aca="false">IF(O986="Yes",ROUND(L986*M986,2),0)</f>
        <v>0</v>
      </c>
      <c r="Q986" s="35" t="n">
        <f aca="false">IF(O986="No",ROUND(L986*M986/2,2),0)</f>
        <v>0</v>
      </c>
      <c r="R986" s="35" t="n">
        <f aca="false">Q986</f>
        <v>0</v>
      </c>
      <c r="S986" s="35" t="n">
        <f aca="false">L986+P986+Q986+R986</f>
        <v>0</v>
      </c>
      <c r="T986" s="34" t="str">
        <f aca="false">IF(A986="","",IFERROR(INDEX(Customers!$B$5:$B$204,MATCH(C986,Customers!$A$5:$A$204,0))&amp;"",""))</f>
        <v/>
      </c>
      <c r="U986" s="38" t="str">
        <f aca="false">IF(A986="","",IF(T986&lt;&gt;"","B2B",IF(AND(O986="Yes",SUMIF($A$5:$A$1004,A986,$L$5:$L$1004)+SUMIF($A$5:$A$1004,A986,$P$5:$P$1004)&gt;100000),"B2CL","B2CS")))</f>
        <v/>
      </c>
      <c r="V986" s="17" t="str">
        <f aca="false">IF(A986="","",TEXT(B986,"mmm-yyyy"))</f>
        <v/>
      </c>
    </row>
    <row r="987" customFormat="false" ht="15" hidden="false" customHeight="true" outlineLevel="0" collapsed="false">
      <c r="A987" s="24"/>
      <c r="B987" s="39"/>
      <c r="C987" s="24"/>
      <c r="D987" s="24"/>
      <c r="E987" s="40"/>
      <c r="F987" s="29"/>
      <c r="G987" s="30"/>
      <c r="H987" s="17" t="str">
        <f aca="false">IF(A987="","",A987&amp;"|"&amp;COUNTIF(A$5:A987,A987))</f>
        <v/>
      </c>
      <c r="I987" s="33" t="str">
        <f aca="false">IF(A987="","",IFERROR(INDEX(Items!$B$5:$B$304,MATCH(D987,Items!$A$5:$A$304,0))&amp;"",""))</f>
        <v/>
      </c>
      <c r="J987" s="34" t="str">
        <f aca="false">IF(A987="","",IFERROR(INDEX(Items!$C$5:$C$304,MATCH(D987,Items!$A$5:$A$304,0))&amp;"",""))</f>
        <v/>
      </c>
      <c r="K987" s="35" t="n">
        <f aca="false">IF(A987="",0,IF(ISNUMBER(F987),F987,IFERROR(INDEX(Items!$D$5:$D$304,MATCH(D987,Items!$A$5:$A$304,0)),0)))</f>
        <v>0</v>
      </c>
      <c r="L987" s="35" t="n">
        <f aca="false">ROUND(N(E987)*K987*(1-N(G987)),2)</f>
        <v>0</v>
      </c>
      <c r="M987" s="36" t="n">
        <f aca="false">IF(A987="",0,IFERROR(INDEX(Items!$E$5:$E$304,MATCH(D987,Items!$A$5:$A$304,0)),0))</f>
        <v>0</v>
      </c>
      <c r="N987" s="37" t="str">
        <f aca="false">IF(A987="","",IFERROR(INDEX(Customers!$E$5:$E$204,MATCH(C987,Customers!$A$5:$A$204,0)),"?"))</f>
        <v/>
      </c>
      <c r="O987" s="38" t="str">
        <f aca="false">IF(A987="","",IF(N987=Settings!$B$17,"No","Yes"))</f>
        <v/>
      </c>
      <c r="P987" s="35" t="n">
        <f aca="false">IF(O987="Yes",ROUND(L987*M987,2),0)</f>
        <v>0</v>
      </c>
      <c r="Q987" s="35" t="n">
        <f aca="false">IF(O987="No",ROUND(L987*M987/2,2),0)</f>
        <v>0</v>
      </c>
      <c r="R987" s="35" t="n">
        <f aca="false">Q987</f>
        <v>0</v>
      </c>
      <c r="S987" s="35" t="n">
        <f aca="false">L987+P987+Q987+R987</f>
        <v>0</v>
      </c>
      <c r="T987" s="34" t="str">
        <f aca="false">IF(A987="","",IFERROR(INDEX(Customers!$B$5:$B$204,MATCH(C987,Customers!$A$5:$A$204,0))&amp;"",""))</f>
        <v/>
      </c>
      <c r="U987" s="38" t="str">
        <f aca="false">IF(A987="","",IF(T987&lt;&gt;"","B2B",IF(AND(O987="Yes",SUMIF($A$5:$A$1004,A987,$L$5:$L$1004)+SUMIF($A$5:$A$1004,A987,$P$5:$P$1004)&gt;100000),"B2CL","B2CS")))</f>
        <v/>
      </c>
      <c r="V987" s="17" t="str">
        <f aca="false">IF(A987="","",TEXT(B987,"mmm-yyyy"))</f>
        <v/>
      </c>
    </row>
    <row r="988" customFormat="false" ht="15" hidden="false" customHeight="true" outlineLevel="0" collapsed="false">
      <c r="A988" s="24"/>
      <c r="B988" s="39"/>
      <c r="C988" s="24"/>
      <c r="D988" s="24"/>
      <c r="E988" s="40"/>
      <c r="F988" s="29"/>
      <c r="G988" s="30"/>
      <c r="H988" s="17" t="str">
        <f aca="false">IF(A988="","",A988&amp;"|"&amp;COUNTIF(A$5:A988,A988))</f>
        <v/>
      </c>
      <c r="I988" s="33" t="str">
        <f aca="false">IF(A988="","",IFERROR(INDEX(Items!$B$5:$B$304,MATCH(D988,Items!$A$5:$A$304,0))&amp;"",""))</f>
        <v/>
      </c>
      <c r="J988" s="34" t="str">
        <f aca="false">IF(A988="","",IFERROR(INDEX(Items!$C$5:$C$304,MATCH(D988,Items!$A$5:$A$304,0))&amp;"",""))</f>
        <v/>
      </c>
      <c r="K988" s="35" t="n">
        <f aca="false">IF(A988="",0,IF(ISNUMBER(F988),F988,IFERROR(INDEX(Items!$D$5:$D$304,MATCH(D988,Items!$A$5:$A$304,0)),0)))</f>
        <v>0</v>
      </c>
      <c r="L988" s="35" t="n">
        <f aca="false">ROUND(N(E988)*K988*(1-N(G988)),2)</f>
        <v>0</v>
      </c>
      <c r="M988" s="36" t="n">
        <f aca="false">IF(A988="",0,IFERROR(INDEX(Items!$E$5:$E$304,MATCH(D988,Items!$A$5:$A$304,0)),0))</f>
        <v>0</v>
      </c>
      <c r="N988" s="37" t="str">
        <f aca="false">IF(A988="","",IFERROR(INDEX(Customers!$E$5:$E$204,MATCH(C988,Customers!$A$5:$A$204,0)),"?"))</f>
        <v/>
      </c>
      <c r="O988" s="38" t="str">
        <f aca="false">IF(A988="","",IF(N988=Settings!$B$17,"No","Yes"))</f>
        <v/>
      </c>
      <c r="P988" s="35" t="n">
        <f aca="false">IF(O988="Yes",ROUND(L988*M988,2),0)</f>
        <v>0</v>
      </c>
      <c r="Q988" s="35" t="n">
        <f aca="false">IF(O988="No",ROUND(L988*M988/2,2),0)</f>
        <v>0</v>
      </c>
      <c r="R988" s="35" t="n">
        <f aca="false">Q988</f>
        <v>0</v>
      </c>
      <c r="S988" s="35" t="n">
        <f aca="false">L988+P988+Q988+R988</f>
        <v>0</v>
      </c>
      <c r="T988" s="34" t="str">
        <f aca="false">IF(A988="","",IFERROR(INDEX(Customers!$B$5:$B$204,MATCH(C988,Customers!$A$5:$A$204,0))&amp;"",""))</f>
        <v/>
      </c>
      <c r="U988" s="38" t="str">
        <f aca="false">IF(A988="","",IF(T988&lt;&gt;"","B2B",IF(AND(O988="Yes",SUMIF($A$5:$A$1004,A988,$L$5:$L$1004)+SUMIF($A$5:$A$1004,A988,$P$5:$P$1004)&gt;100000),"B2CL","B2CS")))</f>
        <v/>
      </c>
      <c r="V988" s="17" t="str">
        <f aca="false">IF(A988="","",TEXT(B988,"mmm-yyyy"))</f>
        <v/>
      </c>
    </row>
    <row r="989" customFormat="false" ht="15" hidden="false" customHeight="true" outlineLevel="0" collapsed="false">
      <c r="A989" s="24"/>
      <c r="B989" s="39"/>
      <c r="C989" s="24"/>
      <c r="D989" s="24"/>
      <c r="E989" s="40"/>
      <c r="F989" s="29"/>
      <c r="G989" s="30"/>
      <c r="H989" s="17" t="str">
        <f aca="false">IF(A989="","",A989&amp;"|"&amp;COUNTIF(A$5:A989,A989))</f>
        <v/>
      </c>
      <c r="I989" s="33" t="str">
        <f aca="false">IF(A989="","",IFERROR(INDEX(Items!$B$5:$B$304,MATCH(D989,Items!$A$5:$A$304,0))&amp;"",""))</f>
        <v/>
      </c>
      <c r="J989" s="34" t="str">
        <f aca="false">IF(A989="","",IFERROR(INDEX(Items!$C$5:$C$304,MATCH(D989,Items!$A$5:$A$304,0))&amp;"",""))</f>
        <v/>
      </c>
      <c r="K989" s="35" t="n">
        <f aca="false">IF(A989="",0,IF(ISNUMBER(F989),F989,IFERROR(INDEX(Items!$D$5:$D$304,MATCH(D989,Items!$A$5:$A$304,0)),0)))</f>
        <v>0</v>
      </c>
      <c r="L989" s="35" t="n">
        <f aca="false">ROUND(N(E989)*K989*(1-N(G989)),2)</f>
        <v>0</v>
      </c>
      <c r="M989" s="36" t="n">
        <f aca="false">IF(A989="",0,IFERROR(INDEX(Items!$E$5:$E$304,MATCH(D989,Items!$A$5:$A$304,0)),0))</f>
        <v>0</v>
      </c>
      <c r="N989" s="37" t="str">
        <f aca="false">IF(A989="","",IFERROR(INDEX(Customers!$E$5:$E$204,MATCH(C989,Customers!$A$5:$A$204,0)),"?"))</f>
        <v/>
      </c>
      <c r="O989" s="38" t="str">
        <f aca="false">IF(A989="","",IF(N989=Settings!$B$17,"No","Yes"))</f>
        <v/>
      </c>
      <c r="P989" s="35" t="n">
        <f aca="false">IF(O989="Yes",ROUND(L989*M989,2),0)</f>
        <v>0</v>
      </c>
      <c r="Q989" s="35" t="n">
        <f aca="false">IF(O989="No",ROUND(L989*M989/2,2),0)</f>
        <v>0</v>
      </c>
      <c r="R989" s="35" t="n">
        <f aca="false">Q989</f>
        <v>0</v>
      </c>
      <c r="S989" s="35" t="n">
        <f aca="false">L989+P989+Q989+R989</f>
        <v>0</v>
      </c>
      <c r="T989" s="34" t="str">
        <f aca="false">IF(A989="","",IFERROR(INDEX(Customers!$B$5:$B$204,MATCH(C989,Customers!$A$5:$A$204,0))&amp;"",""))</f>
        <v/>
      </c>
      <c r="U989" s="38" t="str">
        <f aca="false">IF(A989="","",IF(T989&lt;&gt;"","B2B",IF(AND(O989="Yes",SUMIF($A$5:$A$1004,A989,$L$5:$L$1004)+SUMIF($A$5:$A$1004,A989,$P$5:$P$1004)&gt;100000),"B2CL","B2CS")))</f>
        <v/>
      </c>
      <c r="V989" s="17" t="str">
        <f aca="false">IF(A989="","",TEXT(B989,"mmm-yyyy"))</f>
        <v/>
      </c>
    </row>
    <row r="990" customFormat="false" ht="15" hidden="false" customHeight="true" outlineLevel="0" collapsed="false">
      <c r="A990" s="24"/>
      <c r="B990" s="39"/>
      <c r="C990" s="24"/>
      <c r="D990" s="24"/>
      <c r="E990" s="40"/>
      <c r="F990" s="29"/>
      <c r="G990" s="30"/>
      <c r="H990" s="17" t="str">
        <f aca="false">IF(A990="","",A990&amp;"|"&amp;COUNTIF(A$5:A990,A990))</f>
        <v/>
      </c>
      <c r="I990" s="33" t="str">
        <f aca="false">IF(A990="","",IFERROR(INDEX(Items!$B$5:$B$304,MATCH(D990,Items!$A$5:$A$304,0))&amp;"",""))</f>
        <v/>
      </c>
      <c r="J990" s="34" t="str">
        <f aca="false">IF(A990="","",IFERROR(INDEX(Items!$C$5:$C$304,MATCH(D990,Items!$A$5:$A$304,0))&amp;"",""))</f>
        <v/>
      </c>
      <c r="K990" s="35" t="n">
        <f aca="false">IF(A990="",0,IF(ISNUMBER(F990),F990,IFERROR(INDEX(Items!$D$5:$D$304,MATCH(D990,Items!$A$5:$A$304,0)),0)))</f>
        <v>0</v>
      </c>
      <c r="L990" s="35" t="n">
        <f aca="false">ROUND(N(E990)*K990*(1-N(G990)),2)</f>
        <v>0</v>
      </c>
      <c r="M990" s="36" t="n">
        <f aca="false">IF(A990="",0,IFERROR(INDEX(Items!$E$5:$E$304,MATCH(D990,Items!$A$5:$A$304,0)),0))</f>
        <v>0</v>
      </c>
      <c r="N990" s="37" t="str">
        <f aca="false">IF(A990="","",IFERROR(INDEX(Customers!$E$5:$E$204,MATCH(C990,Customers!$A$5:$A$204,0)),"?"))</f>
        <v/>
      </c>
      <c r="O990" s="38" t="str">
        <f aca="false">IF(A990="","",IF(N990=Settings!$B$17,"No","Yes"))</f>
        <v/>
      </c>
      <c r="P990" s="35" t="n">
        <f aca="false">IF(O990="Yes",ROUND(L990*M990,2),0)</f>
        <v>0</v>
      </c>
      <c r="Q990" s="35" t="n">
        <f aca="false">IF(O990="No",ROUND(L990*M990/2,2),0)</f>
        <v>0</v>
      </c>
      <c r="R990" s="35" t="n">
        <f aca="false">Q990</f>
        <v>0</v>
      </c>
      <c r="S990" s="35" t="n">
        <f aca="false">L990+P990+Q990+R990</f>
        <v>0</v>
      </c>
      <c r="T990" s="34" t="str">
        <f aca="false">IF(A990="","",IFERROR(INDEX(Customers!$B$5:$B$204,MATCH(C990,Customers!$A$5:$A$204,0))&amp;"",""))</f>
        <v/>
      </c>
      <c r="U990" s="38" t="str">
        <f aca="false">IF(A990="","",IF(T990&lt;&gt;"","B2B",IF(AND(O990="Yes",SUMIF($A$5:$A$1004,A990,$L$5:$L$1004)+SUMIF($A$5:$A$1004,A990,$P$5:$P$1004)&gt;100000),"B2CL","B2CS")))</f>
        <v/>
      </c>
      <c r="V990" s="17" t="str">
        <f aca="false">IF(A990="","",TEXT(B990,"mmm-yyyy"))</f>
        <v/>
      </c>
    </row>
    <row r="991" customFormat="false" ht="15" hidden="false" customHeight="true" outlineLevel="0" collapsed="false">
      <c r="A991" s="24"/>
      <c r="B991" s="39"/>
      <c r="C991" s="24"/>
      <c r="D991" s="24"/>
      <c r="E991" s="40"/>
      <c r="F991" s="29"/>
      <c r="G991" s="30"/>
      <c r="H991" s="17" t="str">
        <f aca="false">IF(A991="","",A991&amp;"|"&amp;COUNTIF(A$5:A991,A991))</f>
        <v/>
      </c>
      <c r="I991" s="33" t="str">
        <f aca="false">IF(A991="","",IFERROR(INDEX(Items!$B$5:$B$304,MATCH(D991,Items!$A$5:$A$304,0))&amp;"",""))</f>
        <v/>
      </c>
      <c r="J991" s="34" t="str">
        <f aca="false">IF(A991="","",IFERROR(INDEX(Items!$C$5:$C$304,MATCH(D991,Items!$A$5:$A$304,0))&amp;"",""))</f>
        <v/>
      </c>
      <c r="K991" s="35" t="n">
        <f aca="false">IF(A991="",0,IF(ISNUMBER(F991),F991,IFERROR(INDEX(Items!$D$5:$D$304,MATCH(D991,Items!$A$5:$A$304,0)),0)))</f>
        <v>0</v>
      </c>
      <c r="L991" s="35" t="n">
        <f aca="false">ROUND(N(E991)*K991*(1-N(G991)),2)</f>
        <v>0</v>
      </c>
      <c r="M991" s="36" t="n">
        <f aca="false">IF(A991="",0,IFERROR(INDEX(Items!$E$5:$E$304,MATCH(D991,Items!$A$5:$A$304,0)),0))</f>
        <v>0</v>
      </c>
      <c r="N991" s="37" t="str">
        <f aca="false">IF(A991="","",IFERROR(INDEX(Customers!$E$5:$E$204,MATCH(C991,Customers!$A$5:$A$204,0)),"?"))</f>
        <v/>
      </c>
      <c r="O991" s="38" t="str">
        <f aca="false">IF(A991="","",IF(N991=Settings!$B$17,"No","Yes"))</f>
        <v/>
      </c>
      <c r="P991" s="35" t="n">
        <f aca="false">IF(O991="Yes",ROUND(L991*M991,2),0)</f>
        <v>0</v>
      </c>
      <c r="Q991" s="35" t="n">
        <f aca="false">IF(O991="No",ROUND(L991*M991/2,2),0)</f>
        <v>0</v>
      </c>
      <c r="R991" s="35" t="n">
        <f aca="false">Q991</f>
        <v>0</v>
      </c>
      <c r="S991" s="35" t="n">
        <f aca="false">L991+P991+Q991+R991</f>
        <v>0</v>
      </c>
      <c r="T991" s="34" t="str">
        <f aca="false">IF(A991="","",IFERROR(INDEX(Customers!$B$5:$B$204,MATCH(C991,Customers!$A$5:$A$204,0))&amp;"",""))</f>
        <v/>
      </c>
      <c r="U991" s="38" t="str">
        <f aca="false">IF(A991="","",IF(T991&lt;&gt;"","B2B",IF(AND(O991="Yes",SUMIF($A$5:$A$1004,A991,$L$5:$L$1004)+SUMIF($A$5:$A$1004,A991,$P$5:$P$1004)&gt;100000),"B2CL","B2CS")))</f>
        <v/>
      </c>
      <c r="V991" s="17" t="str">
        <f aca="false">IF(A991="","",TEXT(B991,"mmm-yyyy"))</f>
        <v/>
      </c>
    </row>
    <row r="992" customFormat="false" ht="15" hidden="false" customHeight="true" outlineLevel="0" collapsed="false">
      <c r="A992" s="24"/>
      <c r="B992" s="39"/>
      <c r="C992" s="24"/>
      <c r="D992" s="24"/>
      <c r="E992" s="40"/>
      <c r="F992" s="29"/>
      <c r="G992" s="30"/>
      <c r="H992" s="17" t="str">
        <f aca="false">IF(A992="","",A992&amp;"|"&amp;COUNTIF(A$5:A992,A992))</f>
        <v/>
      </c>
      <c r="I992" s="33" t="str">
        <f aca="false">IF(A992="","",IFERROR(INDEX(Items!$B$5:$B$304,MATCH(D992,Items!$A$5:$A$304,0))&amp;"",""))</f>
        <v/>
      </c>
      <c r="J992" s="34" t="str">
        <f aca="false">IF(A992="","",IFERROR(INDEX(Items!$C$5:$C$304,MATCH(D992,Items!$A$5:$A$304,0))&amp;"",""))</f>
        <v/>
      </c>
      <c r="K992" s="35" t="n">
        <f aca="false">IF(A992="",0,IF(ISNUMBER(F992),F992,IFERROR(INDEX(Items!$D$5:$D$304,MATCH(D992,Items!$A$5:$A$304,0)),0)))</f>
        <v>0</v>
      </c>
      <c r="L992" s="35" t="n">
        <f aca="false">ROUND(N(E992)*K992*(1-N(G992)),2)</f>
        <v>0</v>
      </c>
      <c r="M992" s="36" t="n">
        <f aca="false">IF(A992="",0,IFERROR(INDEX(Items!$E$5:$E$304,MATCH(D992,Items!$A$5:$A$304,0)),0))</f>
        <v>0</v>
      </c>
      <c r="N992" s="37" t="str">
        <f aca="false">IF(A992="","",IFERROR(INDEX(Customers!$E$5:$E$204,MATCH(C992,Customers!$A$5:$A$204,0)),"?"))</f>
        <v/>
      </c>
      <c r="O992" s="38" t="str">
        <f aca="false">IF(A992="","",IF(N992=Settings!$B$17,"No","Yes"))</f>
        <v/>
      </c>
      <c r="P992" s="35" t="n">
        <f aca="false">IF(O992="Yes",ROUND(L992*M992,2),0)</f>
        <v>0</v>
      </c>
      <c r="Q992" s="35" t="n">
        <f aca="false">IF(O992="No",ROUND(L992*M992/2,2),0)</f>
        <v>0</v>
      </c>
      <c r="R992" s="35" t="n">
        <f aca="false">Q992</f>
        <v>0</v>
      </c>
      <c r="S992" s="35" t="n">
        <f aca="false">L992+P992+Q992+R992</f>
        <v>0</v>
      </c>
      <c r="T992" s="34" t="str">
        <f aca="false">IF(A992="","",IFERROR(INDEX(Customers!$B$5:$B$204,MATCH(C992,Customers!$A$5:$A$204,0))&amp;"",""))</f>
        <v/>
      </c>
      <c r="U992" s="38" t="str">
        <f aca="false">IF(A992="","",IF(T992&lt;&gt;"","B2B",IF(AND(O992="Yes",SUMIF($A$5:$A$1004,A992,$L$5:$L$1004)+SUMIF($A$5:$A$1004,A992,$P$5:$P$1004)&gt;100000),"B2CL","B2CS")))</f>
        <v/>
      </c>
      <c r="V992" s="17" t="str">
        <f aca="false">IF(A992="","",TEXT(B992,"mmm-yyyy"))</f>
        <v/>
      </c>
    </row>
    <row r="993" customFormat="false" ht="15" hidden="false" customHeight="true" outlineLevel="0" collapsed="false">
      <c r="A993" s="24"/>
      <c r="B993" s="39"/>
      <c r="C993" s="24"/>
      <c r="D993" s="24"/>
      <c r="E993" s="40"/>
      <c r="F993" s="29"/>
      <c r="G993" s="30"/>
      <c r="H993" s="17" t="str">
        <f aca="false">IF(A993="","",A993&amp;"|"&amp;COUNTIF(A$5:A993,A993))</f>
        <v/>
      </c>
      <c r="I993" s="33" t="str">
        <f aca="false">IF(A993="","",IFERROR(INDEX(Items!$B$5:$B$304,MATCH(D993,Items!$A$5:$A$304,0))&amp;"",""))</f>
        <v/>
      </c>
      <c r="J993" s="34" t="str">
        <f aca="false">IF(A993="","",IFERROR(INDEX(Items!$C$5:$C$304,MATCH(D993,Items!$A$5:$A$304,0))&amp;"",""))</f>
        <v/>
      </c>
      <c r="K993" s="35" t="n">
        <f aca="false">IF(A993="",0,IF(ISNUMBER(F993),F993,IFERROR(INDEX(Items!$D$5:$D$304,MATCH(D993,Items!$A$5:$A$304,0)),0)))</f>
        <v>0</v>
      </c>
      <c r="L993" s="35" t="n">
        <f aca="false">ROUND(N(E993)*K993*(1-N(G993)),2)</f>
        <v>0</v>
      </c>
      <c r="M993" s="36" t="n">
        <f aca="false">IF(A993="",0,IFERROR(INDEX(Items!$E$5:$E$304,MATCH(D993,Items!$A$5:$A$304,0)),0))</f>
        <v>0</v>
      </c>
      <c r="N993" s="37" t="str">
        <f aca="false">IF(A993="","",IFERROR(INDEX(Customers!$E$5:$E$204,MATCH(C993,Customers!$A$5:$A$204,0)),"?"))</f>
        <v/>
      </c>
      <c r="O993" s="38" t="str">
        <f aca="false">IF(A993="","",IF(N993=Settings!$B$17,"No","Yes"))</f>
        <v/>
      </c>
      <c r="P993" s="35" t="n">
        <f aca="false">IF(O993="Yes",ROUND(L993*M993,2),0)</f>
        <v>0</v>
      </c>
      <c r="Q993" s="35" t="n">
        <f aca="false">IF(O993="No",ROUND(L993*M993/2,2),0)</f>
        <v>0</v>
      </c>
      <c r="R993" s="35" t="n">
        <f aca="false">Q993</f>
        <v>0</v>
      </c>
      <c r="S993" s="35" t="n">
        <f aca="false">L993+P993+Q993+R993</f>
        <v>0</v>
      </c>
      <c r="T993" s="34" t="str">
        <f aca="false">IF(A993="","",IFERROR(INDEX(Customers!$B$5:$B$204,MATCH(C993,Customers!$A$5:$A$204,0))&amp;"",""))</f>
        <v/>
      </c>
      <c r="U993" s="38" t="str">
        <f aca="false">IF(A993="","",IF(T993&lt;&gt;"","B2B",IF(AND(O993="Yes",SUMIF($A$5:$A$1004,A993,$L$5:$L$1004)+SUMIF($A$5:$A$1004,A993,$P$5:$P$1004)&gt;100000),"B2CL","B2CS")))</f>
        <v/>
      </c>
      <c r="V993" s="17" t="str">
        <f aca="false">IF(A993="","",TEXT(B993,"mmm-yyyy"))</f>
        <v/>
      </c>
    </row>
    <row r="994" customFormat="false" ht="15" hidden="false" customHeight="true" outlineLevel="0" collapsed="false">
      <c r="A994" s="24"/>
      <c r="B994" s="39"/>
      <c r="C994" s="24"/>
      <c r="D994" s="24"/>
      <c r="E994" s="40"/>
      <c r="F994" s="29"/>
      <c r="G994" s="30"/>
      <c r="H994" s="17" t="str">
        <f aca="false">IF(A994="","",A994&amp;"|"&amp;COUNTIF(A$5:A994,A994))</f>
        <v/>
      </c>
      <c r="I994" s="33" t="str">
        <f aca="false">IF(A994="","",IFERROR(INDEX(Items!$B$5:$B$304,MATCH(D994,Items!$A$5:$A$304,0))&amp;"",""))</f>
        <v/>
      </c>
      <c r="J994" s="34" t="str">
        <f aca="false">IF(A994="","",IFERROR(INDEX(Items!$C$5:$C$304,MATCH(D994,Items!$A$5:$A$304,0))&amp;"",""))</f>
        <v/>
      </c>
      <c r="K994" s="35" t="n">
        <f aca="false">IF(A994="",0,IF(ISNUMBER(F994),F994,IFERROR(INDEX(Items!$D$5:$D$304,MATCH(D994,Items!$A$5:$A$304,0)),0)))</f>
        <v>0</v>
      </c>
      <c r="L994" s="35" t="n">
        <f aca="false">ROUND(N(E994)*K994*(1-N(G994)),2)</f>
        <v>0</v>
      </c>
      <c r="M994" s="36" t="n">
        <f aca="false">IF(A994="",0,IFERROR(INDEX(Items!$E$5:$E$304,MATCH(D994,Items!$A$5:$A$304,0)),0))</f>
        <v>0</v>
      </c>
      <c r="N994" s="37" t="str">
        <f aca="false">IF(A994="","",IFERROR(INDEX(Customers!$E$5:$E$204,MATCH(C994,Customers!$A$5:$A$204,0)),"?"))</f>
        <v/>
      </c>
      <c r="O994" s="38" t="str">
        <f aca="false">IF(A994="","",IF(N994=Settings!$B$17,"No","Yes"))</f>
        <v/>
      </c>
      <c r="P994" s="35" t="n">
        <f aca="false">IF(O994="Yes",ROUND(L994*M994,2),0)</f>
        <v>0</v>
      </c>
      <c r="Q994" s="35" t="n">
        <f aca="false">IF(O994="No",ROUND(L994*M994/2,2),0)</f>
        <v>0</v>
      </c>
      <c r="R994" s="35" t="n">
        <f aca="false">Q994</f>
        <v>0</v>
      </c>
      <c r="S994" s="35" t="n">
        <f aca="false">L994+P994+Q994+R994</f>
        <v>0</v>
      </c>
      <c r="T994" s="34" t="str">
        <f aca="false">IF(A994="","",IFERROR(INDEX(Customers!$B$5:$B$204,MATCH(C994,Customers!$A$5:$A$204,0))&amp;"",""))</f>
        <v/>
      </c>
      <c r="U994" s="38" t="str">
        <f aca="false">IF(A994="","",IF(T994&lt;&gt;"","B2B",IF(AND(O994="Yes",SUMIF($A$5:$A$1004,A994,$L$5:$L$1004)+SUMIF($A$5:$A$1004,A994,$P$5:$P$1004)&gt;100000),"B2CL","B2CS")))</f>
        <v/>
      </c>
      <c r="V994" s="17" t="str">
        <f aca="false">IF(A994="","",TEXT(B994,"mmm-yyyy"))</f>
        <v/>
      </c>
    </row>
    <row r="995" customFormat="false" ht="15" hidden="false" customHeight="true" outlineLevel="0" collapsed="false">
      <c r="A995" s="24"/>
      <c r="B995" s="39"/>
      <c r="C995" s="24"/>
      <c r="D995" s="24"/>
      <c r="E995" s="40"/>
      <c r="F995" s="29"/>
      <c r="G995" s="30"/>
      <c r="H995" s="17" t="str">
        <f aca="false">IF(A995="","",A995&amp;"|"&amp;COUNTIF(A$5:A995,A995))</f>
        <v/>
      </c>
      <c r="I995" s="33" t="str">
        <f aca="false">IF(A995="","",IFERROR(INDEX(Items!$B$5:$B$304,MATCH(D995,Items!$A$5:$A$304,0))&amp;"",""))</f>
        <v/>
      </c>
      <c r="J995" s="34" t="str">
        <f aca="false">IF(A995="","",IFERROR(INDEX(Items!$C$5:$C$304,MATCH(D995,Items!$A$5:$A$304,0))&amp;"",""))</f>
        <v/>
      </c>
      <c r="K995" s="35" t="n">
        <f aca="false">IF(A995="",0,IF(ISNUMBER(F995),F995,IFERROR(INDEX(Items!$D$5:$D$304,MATCH(D995,Items!$A$5:$A$304,0)),0)))</f>
        <v>0</v>
      </c>
      <c r="L995" s="35" t="n">
        <f aca="false">ROUND(N(E995)*K995*(1-N(G995)),2)</f>
        <v>0</v>
      </c>
      <c r="M995" s="36" t="n">
        <f aca="false">IF(A995="",0,IFERROR(INDEX(Items!$E$5:$E$304,MATCH(D995,Items!$A$5:$A$304,0)),0))</f>
        <v>0</v>
      </c>
      <c r="N995" s="37" t="str">
        <f aca="false">IF(A995="","",IFERROR(INDEX(Customers!$E$5:$E$204,MATCH(C995,Customers!$A$5:$A$204,0)),"?"))</f>
        <v/>
      </c>
      <c r="O995" s="38" t="str">
        <f aca="false">IF(A995="","",IF(N995=Settings!$B$17,"No","Yes"))</f>
        <v/>
      </c>
      <c r="P995" s="35" t="n">
        <f aca="false">IF(O995="Yes",ROUND(L995*M995,2),0)</f>
        <v>0</v>
      </c>
      <c r="Q995" s="35" t="n">
        <f aca="false">IF(O995="No",ROUND(L995*M995/2,2),0)</f>
        <v>0</v>
      </c>
      <c r="R995" s="35" t="n">
        <f aca="false">Q995</f>
        <v>0</v>
      </c>
      <c r="S995" s="35" t="n">
        <f aca="false">L995+P995+Q995+R995</f>
        <v>0</v>
      </c>
      <c r="T995" s="34" t="str">
        <f aca="false">IF(A995="","",IFERROR(INDEX(Customers!$B$5:$B$204,MATCH(C995,Customers!$A$5:$A$204,0))&amp;"",""))</f>
        <v/>
      </c>
      <c r="U995" s="38" t="str">
        <f aca="false">IF(A995="","",IF(T995&lt;&gt;"","B2B",IF(AND(O995="Yes",SUMIF($A$5:$A$1004,A995,$L$5:$L$1004)+SUMIF($A$5:$A$1004,A995,$P$5:$P$1004)&gt;100000),"B2CL","B2CS")))</f>
        <v/>
      </c>
      <c r="V995" s="17" t="str">
        <f aca="false">IF(A995="","",TEXT(B995,"mmm-yyyy"))</f>
        <v/>
      </c>
    </row>
    <row r="996" customFormat="false" ht="15" hidden="false" customHeight="true" outlineLevel="0" collapsed="false">
      <c r="A996" s="24"/>
      <c r="B996" s="39"/>
      <c r="C996" s="24"/>
      <c r="D996" s="24"/>
      <c r="E996" s="40"/>
      <c r="F996" s="29"/>
      <c r="G996" s="30"/>
      <c r="H996" s="17" t="str">
        <f aca="false">IF(A996="","",A996&amp;"|"&amp;COUNTIF(A$5:A996,A996))</f>
        <v/>
      </c>
      <c r="I996" s="33" t="str">
        <f aca="false">IF(A996="","",IFERROR(INDEX(Items!$B$5:$B$304,MATCH(D996,Items!$A$5:$A$304,0))&amp;"",""))</f>
        <v/>
      </c>
      <c r="J996" s="34" t="str">
        <f aca="false">IF(A996="","",IFERROR(INDEX(Items!$C$5:$C$304,MATCH(D996,Items!$A$5:$A$304,0))&amp;"",""))</f>
        <v/>
      </c>
      <c r="K996" s="35" t="n">
        <f aca="false">IF(A996="",0,IF(ISNUMBER(F996),F996,IFERROR(INDEX(Items!$D$5:$D$304,MATCH(D996,Items!$A$5:$A$304,0)),0)))</f>
        <v>0</v>
      </c>
      <c r="L996" s="35" t="n">
        <f aca="false">ROUND(N(E996)*K996*(1-N(G996)),2)</f>
        <v>0</v>
      </c>
      <c r="M996" s="36" t="n">
        <f aca="false">IF(A996="",0,IFERROR(INDEX(Items!$E$5:$E$304,MATCH(D996,Items!$A$5:$A$304,0)),0))</f>
        <v>0</v>
      </c>
      <c r="N996" s="37" t="str">
        <f aca="false">IF(A996="","",IFERROR(INDEX(Customers!$E$5:$E$204,MATCH(C996,Customers!$A$5:$A$204,0)),"?"))</f>
        <v/>
      </c>
      <c r="O996" s="38" t="str">
        <f aca="false">IF(A996="","",IF(N996=Settings!$B$17,"No","Yes"))</f>
        <v/>
      </c>
      <c r="P996" s="35" t="n">
        <f aca="false">IF(O996="Yes",ROUND(L996*M996,2),0)</f>
        <v>0</v>
      </c>
      <c r="Q996" s="35" t="n">
        <f aca="false">IF(O996="No",ROUND(L996*M996/2,2),0)</f>
        <v>0</v>
      </c>
      <c r="R996" s="35" t="n">
        <f aca="false">Q996</f>
        <v>0</v>
      </c>
      <c r="S996" s="35" t="n">
        <f aca="false">L996+P996+Q996+R996</f>
        <v>0</v>
      </c>
      <c r="T996" s="34" t="str">
        <f aca="false">IF(A996="","",IFERROR(INDEX(Customers!$B$5:$B$204,MATCH(C996,Customers!$A$5:$A$204,0))&amp;"",""))</f>
        <v/>
      </c>
      <c r="U996" s="38" t="str">
        <f aca="false">IF(A996="","",IF(T996&lt;&gt;"","B2B",IF(AND(O996="Yes",SUMIF($A$5:$A$1004,A996,$L$5:$L$1004)+SUMIF($A$5:$A$1004,A996,$P$5:$P$1004)&gt;100000),"B2CL","B2CS")))</f>
        <v/>
      </c>
      <c r="V996" s="17" t="str">
        <f aca="false">IF(A996="","",TEXT(B996,"mmm-yyyy"))</f>
        <v/>
      </c>
    </row>
    <row r="997" customFormat="false" ht="15" hidden="false" customHeight="true" outlineLevel="0" collapsed="false">
      <c r="A997" s="24"/>
      <c r="B997" s="39"/>
      <c r="C997" s="24"/>
      <c r="D997" s="24"/>
      <c r="E997" s="40"/>
      <c r="F997" s="29"/>
      <c r="G997" s="30"/>
      <c r="H997" s="17" t="str">
        <f aca="false">IF(A997="","",A997&amp;"|"&amp;COUNTIF(A$5:A997,A997))</f>
        <v/>
      </c>
      <c r="I997" s="33" t="str">
        <f aca="false">IF(A997="","",IFERROR(INDEX(Items!$B$5:$B$304,MATCH(D997,Items!$A$5:$A$304,0))&amp;"",""))</f>
        <v/>
      </c>
      <c r="J997" s="34" t="str">
        <f aca="false">IF(A997="","",IFERROR(INDEX(Items!$C$5:$C$304,MATCH(D997,Items!$A$5:$A$304,0))&amp;"",""))</f>
        <v/>
      </c>
      <c r="K997" s="35" t="n">
        <f aca="false">IF(A997="",0,IF(ISNUMBER(F997),F997,IFERROR(INDEX(Items!$D$5:$D$304,MATCH(D997,Items!$A$5:$A$304,0)),0)))</f>
        <v>0</v>
      </c>
      <c r="L997" s="35" t="n">
        <f aca="false">ROUND(N(E997)*K997*(1-N(G997)),2)</f>
        <v>0</v>
      </c>
      <c r="M997" s="36" t="n">
        <f aca="false">IF(A997="",0,IFERROR(INDEX(Items!$E$5:$E$304,MATCH(D997,Items!$A$5:$A$304,0)),0))</f>
        <v>0</v>
      </c>
      <c r="N997" s="37" t="str">
        <f aca="false">IF(A997="","",IFERROR(INDEX(Customers!$E$5:$E$204,MATCH(C997,Customers!$A$5:$A$204,0)),"?"))</f>
        <v/>
      </c>
      <c r="O997" s="38" t="str">
        <f aca="false">IF(A997="","",IF(N997=Settings!$B$17,"No","Yes"))</f>
        <v/>
      </c>
      <c r="P997" s="35" t="n">
        <f aca="false">IF(O997="Yes",ROUND(L997*M997,2),0)</f>
        <v>0</v>
      </c>
      <c r="Q997" s="35" t="n">
        <f aca="false">IF(O997="No",ROUND(L997*M997/2,2),0)</f>
        <v>0</v>
      </c>
      <c r="R997" s="35" t="n">
        <f aca="false">Q997</f>
        <v>0</v>
      </c>
      <c r="S997" s="35" t="n">
        <f aca="false">L997+P997+Q997+R997</f>
        <v>0</v>
      </c>
      <c r="T997" s="34" t="str">
        <f aca="false">IF(A997="","",IFERROR(INDEX(Customers!$B$5:$B$204,MATCH(C997,Customers!$A$5:$A$204,0))&amp;"",""))</f>
        <v/>
      </c>
      <c r="U997" s="38" t="str">
        <f aca="false">IF(A997="","",IF(T997&lt;&gt;"","B2B",IF(AND(O997="Yes",SUMIF($A$5:$A$1004,A997,$L$5:$L$1004)+SUMIF($A$5:$A$1004,A997,$P$5:$P$1004)&gt;100000),"B2CL","B2CS")))</f>
        <v/>
      </c>
      <c r="V997" s="17" t="str">
        <f aca="false">IF(A997="","",TEXT(B997,"mmm-yyyy"))</f>
        <v/>
      </c>
    </row>
    <row r="998" customFormat="false" ht="15" hidden="false" customHeight="true" outlineLevel="0" collapsed="false">
      <c r="A998" s="24"/>
      <c r="B998" s="39"/>
      <c r="C998" s="24"/>
      <c r="D998" s="24"/>
      <c r="E998" s="40"/>
      <c r="F998" s="29"/>
      <c r="G998" s="30"/>
      <c r="H998" s="17" t="str">
        <f aca="false">IF(A998="","",A998&amp;"|"&amp;COUNTIF(A$5:A998,A998))</f>
        <v/>
      </c>
      <c r="I998" s="33" t="str">
        <f aca="false">IF(A998="","",IFERROR(INDEX(Items!$B$5:$B$304,MATCH(D998,Items!$A$5:$A$304,0))&amp;"",""))</f>
        <v/>
      </c>
      <c r="J998" s="34" t="str">
        <f aca="false">IF(A998="","",IFERROR(INDEX(Items!$C$5:$C$304,MATCH(D998,Items!$A$5:$A$304,0))&amp;"",""))</f>
        <v/>
      </c>
      <c r="K998" s="35" t="n">
        <f aca="false">IF(A998="",0,IF(ISNUMBER(F998),F998,IFERROR(INDEX(Items!$D$5:$D$304,MATCH(D998,Items!$A$5:$A$304,0)),0)))</f>
        <v>0</v>
      </c>
      <c r="L998" s="35" t="n">
        <f aca="false">ROUND(N(E998)*K998*(1-N(G998)),2)</f>
        <v>0</v>
      </c>
      <c r="M998" s="36" t="n">
        <f aca="false">IF(A998="",0,IFERROR(INDEX(Items!$E$5:$E$304,MATCH(D998,Items!$A$5:$A$304,0)),0))</f>
        <v>0</v>
      </c>
      <c r="N998" s="37" t="str">
        <f aca="false">IF(A998="","",IFERROR(INDEX(Customers!$E$5:$E$204,MATCH(C998,Customers!$A$5:$A$204,0)),"?"))</f>
        <v/>
      </c>
      <c r="O998" s="38" t="str">
        <f aca="false">IF(A998="","",IF(N998=Settings!$B$17,"No","Yes"))</f>
        <v/>
      </c>
      <c r="P998" s="35" t="n">
        <f aca="false">IF(O998="Yes",ROUND(L998*M998,2),0)</f>
        <v>0</v>
      </c>
      <c r="Q998" s="35" t="n">
        <f aca="false">IF(O998="No",ROUND(L998*M998/2,2),0)</f>
        <v>0</v>
      </c>
      <c r="R998" s="35" t="n">
        <f aca="false">Q998</f>
        <v>0</v>
      </c>
      <c r="S998" s="35" t="n">
        <f aca="false">L998+P998+Q998+R998</f>
        <v>0</v>
      </c>
      <c r="T998" s="34" t="str">
        <f aca="false">IF(A998="","",IFERROR(INDEX(Customers!$B$5:$B$204,MATCH(C998,Customers!$A$5:$A$204,0))&amp;"",""))</f>
        <v/>
      </c>
      <c r="U998" s="38" t="str">
        <f aca="false">IF(A998="","",IF(T998&lt;&gt;"","B2B",IF(AND(O998="Yes",SUMIF($A$5:$A$1004,A998,$L$5:$L$1004)+SUMIF($A$5:$A$1004,A998,$P$5:$P$1004)&gt;100000),"B2CL","B2CS")))</f>
        <v/>
      </c>
      <c r="V998" s="17" t="str">
        <f aca="false">IF(A998="","",TEXT(B998,"mmm-yyyy"))</f>
        <v/>
      </c>
    </row>
    <row r="999" customFormat="false" ht="15" hidden="false" customHeight="true" outlineLevel="0" collapsed="false">
      <c r="A999" s="24"/>
      <c r="B999" s="39"/>
      <c r="C999" s="24"/>
      <c r="D999" s="24"/>
      <c r="E999" s="40"/>
      <c r="F999" s="29"/>
      <c r="G999" s="30"/>
      <c r="H999" s="17" t="str">
        <f aca="false">IF(A999="","",A999&amp;"|"&amp;COUNTIF(A$5:A999,A999))</f>
        <v/>
      </c>
      <c r="I999" s="33" t="str">
        <f aca="false">IF(A999="","",IFERROR(INDEX(Items!$B$5:$B$304,MATCH(D999,Items!$A$5:$A$304,0))&amp;"",""))</f>
        <v/>
      </c>
      <c r="J999" s="34" t="str">
        <f aca="false">IF(A999="","",IFERROR(INDEX(Items!$C$5:$C$304,MATCH(D999,Items!$A$5:$A$304,0))&amp;"",""))</f>
        <v/>
      </c>
      <c r="K999" s="35" t="n">
        <f aca="false">IF(A999="",0,IF(ISNUMBER(F999),F999,IFERROR(INDEX(Items!$D$5:$D$304,MATCH(D999,Items!$A$5:$A$304,0)),0)))</f>
        <v>0</v>
      </c>
      <c r="L999" s="35" t="n">
        <f aca="false">ROUND(N(E999)*K999*(1-N(G999)),2)</f>
        <v>0</v>
      </c>
      <c r="M999" s="36" t="n">
        <f aca="false">IF(A999="",0,IFERROR(INDEX(Items!$E$5:$E$304,MATCH(D999,Items!$A$5:$A$304,0)),0))</f>
        <v>0</v>
      </c>
      <c r="N999" s="37" t="str">
        <f aca="false">IF(A999="","",IFERROR(INDEX(Customers!$E$5:$E$204,MATCH(C999,Customers!$A$5:$A$204,0)),"?"))</f>
        <v/>
      </c>
      <c r="O999" s="38" t="str">
        <f aca="false">IF(A999="","",IF(N999=Settings!$B$17,"No","Yes"))</f>
        <v/>
      </c>
      <c r="P999" s="35" t="n">
        <f aca="false">IF(O999="Yes",ROUND(L999*M999,2),0)</f>
        <v>0</v>
      </c>
      <c r="Q999" s="35" t="n">
        <f aca="false">IF(O999="No",ROUND(L999*M999/2,2),0)</f>
        <v>0</v>
      </c>
      <c r="R999" s="35" t="n">
        <f aca="false">Q999</f>
        <v>0</v>
      </c>
      <c r="S999" s="35" t="n">
        <f aca="false">L999+P999+Q999+R999</f>
        <v>0</v>
      </c>
      <c r="T999" s="34" t="str">
        <f aca="false">IF(A999="","",IFERROR(INDEX(Customers!$B$5:$B$204,MATCH(C999,Customers!$A$5:$A$204,0))&amp;"",""))</f>
        <v/>
      </c>
      <c r="U999" s="38" t="str">
        <f aca="false">IF(A999="","",IF(T999&lt;&gt;"","B2B",IF(AND(O999="Yes",SUMIF($A$5:$A$1004,A999,$L$5:$L$1004)+SUMIF($A$5:$A$1004,A999,$P$5:$P$1004)&gt;100000),"B2CL","B2CS")))</f>
        <v/>
      </c>
      <c r="V999" s="17" t="str">
        <f aca="false">IF(A999="","",TEXT(B999,"mmm-yyyy"))</f>
        <v/>
      </c>
    </row>
    <row r="1000" customFormat="false" ht="15" hidden="false" customHeight="true" outlineLevel="0" collapsed="false">
      <c r="A1000" s="24"/>
      <c r="B1000" s="39"/>
      <c r="C1000" s="24"/>
      <c r="D1000" s="24"/>
      <c r="E1000" s="40"/>
      <c r="F1000" s="29"/>
      <c r="G1000" s="30"/>
      <c r="H1000" s="17" t="str">
        <f aca="false">IF(A1000="","",A1000&amp;"|"&amp;COUNTIF(A$5:A1000,A1000))</f>
        <v/>
      </c>
      <c r="I1000" s="33" t="str">
        <f aca="false">IF(A1000="","",IFERROR(INDEX(Items!$B$5:$B$304,MATCH(D1000,Items!$A$5:$A$304,0))&amp;"",""))</f>
        <v/>
      </c>
      <c r="J1000" s="34" t="str">
        <f aca="false">IF(A1000="","",IFERROR(INDEX(Items!$C$5:$C$304,MATCH(D1000,Items!$A$5:$A$304,0))&amp;"",""))</f>
        <v/>
      </c>
      <c r="K1000" s="35" t="n">
        <f aca="false">IF(A1000="",0,IF(ISNUMBER(F1000),F1000,IFERROR(INDEX(Items!$D$5:$D$304,MATCH(D1000,Items!$A$5:$A$304,0)),0)))</f>
        <v>0</v>
      </c>
      <c r="L1000" s="35" t="n">
        <f aca="false">ROUND(N(E1000)*K1000*(1-N(G1000)),2)</f>
        <v>0</v>
      </c>
      <c r="M1000" s="36" t="n">
        <f aca="false">IF(A1000="",0,IFERROR(INDEX(Items!$E$5:$E$304,MATCH(D1000,Items!$A$5:$A$304,0)),0))</f>
        <v>0</v>
      </c>
      <c r="N1000" s="37" t="str">
        <f aca="false">IF(A1000="","",IFERROR(INDEX(Customers!$E$5:$E$204,MATCH(C1000,Customers!$A$5:$A$204,0)),"?"))</f>
        <v/>
      </c>
      <c r="O1000" s="38" t="str">
        <f aca="false">IF(A1000="","",IF(N1000=Settings!$B$17,"No","Yes"))</f>
        <v/>
      </c>
      <c r="P1000" s="35" t="n">
        <f aca="false">IF(O1000="Yes",ROUND(L1000*M1000,2),0)</f>
        <v>0</v>
      </c>
      <c r="Q1000" s="35" t="n">
        <f aca="false">IF(O1000="No",ROUND(L1000*M1000/2,2),0)</f>
        <v>0</v>
      </c>
      <c r="R1000" s="35" t="n">
        <f aca="false">Q1000</f>
        <v>0</v>
      </c>
      <c r="S1000" s="35" t="n">
        <f aca="false">L1000+P1000+Q1000+R1000</f>
        <v>0</v>
      </c>
      <c r="T1000" s="34" t="str">
        <f aca="false">IF(A1000="","",IFERROR(INDEX(Customers!$B$5:$B$204,MATCH(C1000,Customers!$A$5:$A$204,0))&amp;"",""))</f>
        <v/>
      </c>
      <c r="U1000" s="38" t="str">
        <f aca="false">IF(A1000="","",IF(T1000&lt;&gt;"","B2B",IF(AND(O1000="Yes",SUMIF($A$5:$A$1004,A1000,$L$5:$L$1004)+SUMIF($A$5:$A$1004,A1000,$P$5:$P$1004)&gt;100000),"B2CL","B2CS")))</f>
        <v/>
      </c>
      <c r="V1000" s="17" t="str">
        <f aca="false">IF(A1000="","",TEXT(B1000,"mmm-yyyy"))</f>
        <v/>
      </c>
    </row>
    <row r="1001" customFormat="false" ht="15" hidden="false" customHeight="true" outlineLevel="0" collapsed="false">
      <c r="A1001" s="24"/>
      <c r="B1001" s="39"/>
      <c r="C1001" s="24"/>
      <c r="D1001" s="24"/>
      <c r="E1001" s="40"/>
      <c r="F1001" s="29"/>
      <c r="G1001" s="30"/>
      <c r="H1001" s="17" t="str">
        <f aca="false">IF(A1001="","",A1001&amp;"|"&amp;COUNTIF(A$5:A1001,A1001))</f>
        <v/>
      </c>
      <c r="I1001" s="33" t="str">
        <f aca="false">IF(A1001="","",IFERROR(INDEX(Items!$B$5:$B$304,MATCH(D1001,Items!$A$5:$A$304,0))&amp;"",""))</f>
        <v/>
      </c>
      <c r="J1001" s="34" t="str">
        <f aca="false">IF(A1001="","",IFERROR(INDEX(Items!$C$5:$C$304,MATCH(D1001,Items!$A$5:$A$304,0))&amp;"",""))</f>
        <v/>
      </c>
      <c r="K1001" s="35" t="n">
        <f aca="false">IF(A1001="",0,IF(ISNUMBER(F1001),F1001,IFERROR(INDEX(Items!$D$5:$D$304,MATCH(D1001,Items!$A$5:$A$304,0)),0)))</f>
        <v>0</v>
      </c>
      <c r="L1001" s="35" t="n">
        <f aca="false">ROUND(N(E1001)*K1001*(1-N(G1001)),2)</f>
        <v>0</v>
      </c>
      <c r="M1001" s="36" t="n">
        <f aca="false">IF(A1001="",0,IFERROR(INDEX(Items!$E$5:$E$304,MATCH(D1001,Items!$A$5:$A$304,0)),0))</f>
        <v>0</v>
      </c>
      <c r="N1001" s="37" t="str">
        <f aca="false">IF(A1001="","",IFERROR(INDEX(Customers!$E$5:$E$204,MATCH(C1001,Customers!$A$5:$A$204,0)),"?"))</f>
        <v/>
      </c>
      <c r="O1001" s="38" t="str">
        <f aca="false">IF(A1001="","",IF(N1001=Settings!$B$17,"No","Yes"))</f>
        <v/>
      </c>
      <c r="P1001" s="35" t="n">
        <f aca="false">IF(O1001="Yes",ROUND(L1001*M1001,2),0)</f>
        <v>0</v>
      </c>
      <c r="Q1001" s="35" t="n">
        <f aca="false">IF(O1001="No",ROUND(L1001*M1001/2,2),0)</f>
        <v>0</v>
      </c>
      <c r="R1001" s="35" t="n">
        <f aca="false">Q1001</f>
        <v>0</v>
      </c>
      <c r="S1001" s="35" t="n">
        <f aca="false">L1001+P1001+Q1001+R1001</f>
        <v>0</v>
      </c>
      <c r="T1001" s="34" t="str">
        <f aca="false">IF(A1001="","",IFERROR(INDEX(Customers!$B$5:$B$204,MATCH(C1001,Customers!$A$5:$A$204,0))&amp;"",""))</f>
        <v/>
      </c>
      <c r="U1001" s="38" t="str">
        <f aca="false">IF(A1001="","",IF(T1001&lt;&gt;"","B2B",IF(AND(O1001="Yes",SUMIF($A$5:$A$1004,A1001,$L$5:$L$1004)+SUMIF($A$5:$A$1004,A1001,$P$5:$P$1004)&gt;100000),"B2CL","B2CS")))</f>
        <v/>
      </c>
      <c r="V1001" s="17" t="str">
        <f aca="false">IF(A1001="","",TEXT(B1001,"mmm-yyyy"))</f>
        <v/>
      </c>
    </row>
    <row r="1002" customFormat="false" ht="15" hidden="false" customHeight="true" outlineLevel="0" collapsed="false">
      <c r="A1002" s="24"/>
      <c r="B1002" s="39"/>
      <c r="C1002" s="24"/>
      <c r="D1002" s="24"/>
      <c r="E1002" s="40"/>
      <c r="F1002" s="29"/>
      <c r="G1002" s="30"/>
      <c r="H1002" s="17" t="str">
        <f aca="false">IF(A1002="","",A1002&amp;"|"&amp;COUNTIF(A$5:A1002,A1002))</f>
        <v/>
      </c>
      <c r="I1002" s="33" t="str">
        <f aca="false">IF(A1002="","",IFERROR(INDEX(Items!$B$5:$B$304,MATCH(D1002,Items!$A$5:$A$304,0))&amp;"",""))</f>
        <v/>
      </c>
      <c r="J1002" s="34" t="str">
        <f aca="false">IF(A1002="","",IFERROR(INDEX(Items!$C$5:$C$304,MATCH(D1002,Items!$A$5:$A$304,0))&amp;"",""))</f>
        <v/>
      </c>
      <c r="K1002" s="35" t="n">
        <f aca="false">IF(A1002="",0,IF(ISNUMBER(F1002),F1002,IFERROR(INDEX(Items!$D$5:$D$304,MATCH(D1002,Items!$A$5:$A$304,0)),0)))</f>
        <v>0</v>
      </c>
      <c r="L1002" s="35" t="n">
        <f aca="false">ROUND(N(E1002)*K1002*(1-N(G1002)),2)</f>
        <v>0</v>
      </c>
      <c r="M1002" s="36" t="n">
        <f aca="false">IF(A1002="",0,IFERROR(INDEX(Items!$E$5:$E$304,MATCH(D1002,Items!$A$5:$A$304,0)),0))</f>
        <v>0</v>
      </c>
      <c r="N1002" s="37" t="str">
        <f aca="false">IF(A1002="","",IFERROR(INDEX(Customers!$E$5:$E$204,MATCH(C1002,Customers!$A$5:$A$204,0)),"?"))</f>
        <v/>
      </c>
      <c r="O1002" s="38" t="str">
        <f aca="false">IF(A1002="","",IF(N1002=Settings!$B$17,"No","Yes"))</f>
        <v/>
      </c>
      <c r="P1002" s="35" t="n">
        <f aca="false">IF(O1002="Yes",ROUND(L1002*M1002,2),0)</f>
        <v>0</v>
      </c>
      <c r="Q1002" s="35" t="n">
        <f aca="false">IF(O1002="No",ROUND(L1002*M1002/2,2),0)</f>
        <v>0</v>
      </c>
      <c r="R1002" s="35" t="n">
        <f aca="false">Q1002</f>
        <v>0</v>
      </c>
      <c r="S1002" s="35" t="n">
        <f aca="false">L1002+P1002+Q1002+R1002</f>
        <v>0</v>
      </c>
      <c r="T1002" s="34" t="str">
        <f aca="false">IF(A1002="","",IFERROR(INDEX(Customers!$B$5:$B$204,MATCH(C1002,Customers!$A$5:$A$204,0))&amp;"",""))</f>
        <v/>
      </c>
      <c r="U1002" s="38" t="str">
        <f aca="false">IF(A1002="","",IF(T1002&lt;&gt;"","B2B",IF(AND(O1002="Yes",SUMIF($A$5:$A$1004,A1002,$L$5:$L$1004)+SUMIF($A$5:$A$1004,A1002,$P$5:$P$1004)&gt;100000),"B2CL","B2CS")))</f>
        <v/>
      </c>
      <c r="V1002" s="17" t="str">
        <f aca="false">IF(A1002="","",TEXT(B1002,"mmm-yyyy"))</f>
        <v/>
      </c>
    </row>
    <row r="1003" customFormat="false" ht="15" hidden="false" customHeight="true" outlineLevel="0" collapsed="false">
      <c r="A1003" s="24"/>
      <c r="B1003" s="39"/>
      <c r="C1003" s="24"/>
      <c r="D1003" s="24"/>
      <c r="E1003" s="40"/>
      <c r="F1003" s="29"/>
      <c r="G1003" s="30"/>
      <c r="H1003" s="17" t="str">
        <f aca="false">IF(A1003="","",A1003&amp;"|"&amp;COUNTIF(A$5:A1003,A1003))</f>
        <v/>
      </c>
      <c r="I1003" s="33" t="str">
        <f aca="false">IF(A1003="","",IFERROR(INDEX(Items!$B$5:$B$304,MATCH(D1003,Items!$A$5:$A$304,0))&amp;"",""))</f>
        <v/>
      </c>
      <c r="J1003" s="34" t="str">
        <f aca="false">IF(A1003="","",IFERROR(INDEX(Items!$C$5:$C$304,MATCH(D1003,Items!$A$5:$A$304,0))&amp;"",""))</f>
        <v/>
      </c>
      <c r="K1003" s="35" t="n">
        <f aca="false">IF(A1003="",0,IF(ISNUMBER(F1003),F1003,IFERROR(INDEX(Items!$D$5:$D$304,MATCH(D1003,Items!$A$5:$A$304,0)),0)))</f>
        <v>0</v>
      </c>
      <c r="L1003" s="35" t="n">
        <f aca="false">ROUND(N(E1003)*K1003*(1-N(G1003)),2)</f>
        <v>0</v>
      </c>
      <c r="M1003" s="36" t="n">
        <f aca="false">IF(A1003="",0,IFERROR(INDEX(Items!$E$5:$E$304,MATCH(D1003,Items!$A$5:$A$304,0)),0))</f>
        <v>0</v>
      </c>
      <c r="N1003" s="37" t="str">
        <f aca="false">IF(A1003="","",IFERROR(INDEX(Customers!$E$5:$E$204,MATCH(C1003,Customers!$A$5:$A$204,0)),"?"))</f>
        <v/>
      </c>
      <c r="O1003" s="38" t="str">
        <f aca="false">IF(A1003="","",IF(N1003=Settings!$B$17,"No","Yes"))</f>
        <v/>
      </c>
      <c r="P1003" s="35" t="n">
        <f aca="false">IF(O1003="Yes",ROUND(L1003*M1003,2),0)</f>
        <v>0</v>
      </c>
      <c r="Q1003" s="35" t="n">
        <f aca="false">IF(O1003="No",ROUND(L1003*M1003/2,2),0)</f>
        <v>0</v>
      </c>
      <c r="R1003" s="35" t="n">
        <f aca="false">Q1003</f>
        <v>0</v>
      </c>
      <c r="S1003" s="35" t="n">
        <f aca="false">L1003+P1003+Q1003+R1003</f>
        <v>0</v>
      </c>
      <c r="T1003" s="34" t="str">
        <f aca="false">IF(A1003="","",IFERROR(INDEX(Customers!$B$5:$B$204,MATCH(C1003,Customers!$A$5:$A$204,0))&amp;"",""))</f>
        <v/>
      </c>
      <c r="U1003" s="38" t="str">
        <f aca="false">IF(A1003="","",IF(T1003&lt;&gt;"","B2B",IF(AND(O1003="Yes",SUMIF($A$5:$A$1004,A1003,$L$5:$L$1004)+SUMIF($A$5:$A$1004,A1003,$P$5:$P$1004)&gt;100000),"B2CL","B2CS")))</f>
        <v/>
      </c>
      <c r="V1003" s="17" t="str">
        <f aca="false">IF(A1003="","",TEXT(B1003,"mmm-yyyy"))</f>
        <v/>
      </c>
    </row>
    <row r="1004" customFormat="false" ht="15" hidden="false" customHeight="true" outlineLevel="0" collapsed="false">
      <c r="A1004" s="24"/>
      <c r="B1004" s="39"/>
      <c r="C1004" s="24"/>
      <c r="D1004" s="24"/>
      <c r="E1004" s="40"/>
      <c r="F1004" s="29"/>
      <c r="G1004" s="30"/>
      <c r="H1004" s="17" t="str">
        <f aca="false">IF(A1004="","",A1004&amp;"|"&amp;COUNTIF(A$5:A1004,A1004))</f>
        <v/>
      </c>
      <c r="I1004" s="33" t="str">
        <f aca="false">IF(A1004="","",IFERROR(INDEX(Items!$B$5:$B$304,MATCH(D1004,Items!$A$5:$A$304,0))&amp;"",""))</f>
        <v/>
      </c>
      <c r="J1004" s="34" t="str">
        <f aca="false">IF(A1004="","",IFERROR(INDEX(Items!$C$5:$C$304,MATCH(D1004,Items!$A$5:$A$304,0))&amp;"",""))</f>
        <v/>
      </c>
      <c r="K1004" s="35" t="n">
        <f aca="false">IF(A1004="",0,IF(ISNUMBER(F1004),F1004,IFERROR(INDEX(Items!$D$5:$D$304,MATCH(D1004,Items!$A$5:$A$304,0)),0)))</f>
        <v>0</v>
      </c>
      <c r="L1004" s="35" t="n">
        <f aca="false">ROUND(N(E1004)*K1004*(1-N(G1004)),2)</f>
        <v>0</v>
      </c>
      <c r="M1004" s="36" t="n">
        <f aca="false">IF(A1004="",0,IFERROR(INDEX(Items!$E$5:$E$304,MATCH(D1004,Items!$A$5:$A$304,0)),0))</f>
        <v>0</v>
      </c>
      <c r="N1004" s="37" t="str">
        <f aca="false">IF(A1004="","",IFERROR(INDEX(Customers!$E$5:$E$204,MATCH(C1004,Customers!$A$5:$A$204,0)),"?"))</f>
        <v/>
      </c>
      <c r="O1004" s="38" t="str">
        <f aca="false">IF(A1004="","",IF(N1004=Settings!$B$17,"No","Yes"))</f>
        <v/>
      </c>
      <c r="P1004" s="35" t="n">
        <f aca="false">IF(O1004="Yes",ROUND(L1004*M1004,2),0)</f>
        <v>0</v>
      </c>
      <c r="Q1004" s="35" t="n">
        <f aca="false">IF(O1004="No",ROUND(L1004*M1004/2,2),0)</f>
        <v>0</v>
      </c>
      <c r="R1004" s="35" t="n">
        <f aca="false">Q1004</f>
        <v>0</v>
      </c>
      <c r="S1004" s="35" t="n">
        <f aca="false">L1004+P1004+Q1004+R1004</f>
        <v>0</v>
      </c>
      <c r="T1004" s="34" t="str">
        <f aca="false">IF(A1004="","",IFERROR(INDEX(Customers!$B$5:$B$204,MATCH(C1004,Customers!$A$5:$A$204,0))&amp;"",""))</f>
        <v/>
      </c>
      <c r="U1004" s="38" t="str">
        <f aca="false">IF(A1004="","",IF(T1004&lt;&gt;"","B2B",IF(AND(O1004="Yes",SUMIF($A$5:$A$1004,A1004,$L$5:$L$1004)+SUMIF($A$5:$A$1004,A1004,$P$5:$P$1004)&gt;100000),"B2CL","B2CS")))</f>
        <v/>
      </c>
      <c r="V1004" s="17" t="str">
        <f aca="false">IF(A1004="","",TEXT(B1004,"mmm-yyyy"))</f>
        <v/>
      </c>
    </row>
    <row r="1005" customFormat="false" ht="15" hidden="false" customHeight="true" outlineLevel="0" collapsed="false">
      <c r="C1005" s="4" t="s">
        <v>157</v>
      </c>
      <c r="L1005" s="41" t="n">
        <f aca="false">SUM(L5:L1004)</f>
        <v>613175</v>
      </c>
      <c r="P1005" s="41" t="n">
        <f aca="false">SUM(P5:P1004)</f>
        <v>75243.5</v>
      </c>
      <c r="Q1005" s="41" t="n">
        <f aca="false">SUM(Q5:Q1004)</f>
        <v>12156</v>
      </c>
      <c r="R1005" s="41" t="n">
        <f aca="false">SUM(R5:R1004)</f>
        <v>12156</v>
      </c>
      <c r="S1005" s="41" t="n">
        <f aca="false">SUM(S5:S1004)</f>
        <v>712730.5</v>
      </c>
    </row>
  </sheetData>
  <conditionalFormatting sqref="N5:N1004">
    <cfRule type="cellIs" priority="2" operator="equal" aboveAverage="0" equalAverage="0" bottom="0" percent="0" rank="0" text="" dxfId="0">
      <formula>"?"</formula>
    </cfRule>
  </conditionalFormatting>
  <dataValidations count="2">
    <dataValidation allowBlank="true" errorStyle="stop" operator="between" prompt="Customer" promptTitle="Select" showDropDown="false" showErrorMessage="false" showInputMessage="true" sqref="C5:C1004" type="list">
      <formula1>Customers!$A$5:$A$204</formula1>
      <formula2>0</formula2>
    </dataValidation>
    <dataValidation allowBlank="true" errorStyle="stop" operator="between" prompt="Item" promptTitle="Select" showDropDown="false" showErrorMessage="false" showInputMessage="true" sqref="D5:D1004" type="list">
      <formula1>Items!$A$5:$A$304</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4"/>
    <col collapsed="false" customWidth="true" hidden="false" outlineLevel="0" max="3" min="3" style="1" width="11"/>
    <col collapsed="false" customWidth="true" hidden="false" outlineLevel="0" max="4" min="4" style="1" width="7"/>
    <col collapsed="false" customWidth="true" hidden="false" outlineLevel="0" max="5" min="5" style="1" width="9"/>
    <col collapsed="false" customWidth="true" hidden="false" outlineLevel="0" max="6" min="6" style="1" width="11"/>
    <col collapsed="false" customWidth="true" hidden="false" outlineLevel="0" max="7" min="7" style="1" width="9"/>
    <col collapsed="false" customWidth="true" hidden="false" outlineLevel="0" max="8" min="8" style="1" width="13"/>
    <col collapsed="false" customWidth="true" hidden="false" outlineLevel="0" max="9" min="9" style="1" width="8"/>
    <col collapsed="false" customWidth="true" hidden="false" outlineLevel="0" max="11" min="10" style="1" width="11"/>
    <col collapsed="false" customWidth="true" hidden="false" outlineLevel="0" max="12" min="12" style="1" width="13"/>
    <col collapsed="false" customWidth="true" hidden="false" outlineLevel="0" max="14" min="14" style="1" width="20"/>
  </cols>
  <sheetData>
    <row r="1" customFormat="false" ht="17.25" hidden="false" customHeight="true" outlineLevel="0" collapsed="false">
      <c r="A1" s="42" t="str">
        <f aca="false">Settings!$B$11</f>
        <v>TAX INVOICE</v>
      </c>
      <c r="B1" s="42"/>
      <c r="C1" s="42"/>
      <c r="D1" s="42"/>
      <c r="E1" s="42"/>
      <c r="F1" s="42"/>
      <c r="G1" s="42"/>
      <c r="H1" s="42"/>
      <c r="I1" s="42"/>
      <c r="J1" s="42"/>
      <c r="K1" s="42"/>
      <c r="L1" s="42"/>
    </row>
    <row r="2" customFormat="false" ht="15" hidden="false" customHeight="true" outlineLevel="0" collapsed="false">
      <c r="A2" s="43" t="str">
        <f aca="false">Settings!$B$12</f>
        <v>Original for Recipient</v>
      </c>
      <c r="B2" s="43"/>
      <c r="C2" s="43"/>
      <c r="D2" s="43"/>
      <c r="E2" s="43"/>
      <c r="F2" s="43"/>
      <c r="G2" s="43"/>
      <c r="H2" s="43"/>
      <c r="I2" s="43"/>
      <c r="J2" s="43"/>
      <c r="K2" s="43"/>
      <c r="L2" s="43"/>
      <c r="N2" s="4" t="s">
        <v>158</v>
      </c>
    </row>
    <row r="3" customFormat="false" ht="15" hidden="false" customHeight="true" outlineLevel="0" collapsed="false">
      <c r="A3" s="44" t="str">
        <f aca="false">Settings!$B$5</f>
        <v>Raipur Precision Components Pvt Ltd</v>
      </c>
      <c r="B3" s="44"/>
      <c r="C3" s="44"/>
      <c r="D3" s="44"/>
      <c r="E3" s="44"/>
      <c r="F3" s="44"/>
      <c r="H3" s="45" t="s">
        <v>134</v>
      </c>
      <c r="I3" s="45"/>
      <c r="J3" s="46" t="str">
        <f aca="false">$N$3</f>
        <v>PRC/26-27/0142</v>
      </c>
      <c r="K3" s="46"/>
      <c r="L3" s="46"/>
      <c r="N3" s="19" t="s">
        <v>152</v>
      </c>
    </row>
    <row r="4" customFormat="false" ht="15" hidden="false" customHeight="true" outlineLevel="0" collapsed="false">
      <c r="A4" s="47" t="str">
        <f aca="false">Settings!$B$6</f>
        <v>Plot 42, Urla Industrial Area, Raipur, Chhattisgarh 493221</v>
      </c>
      <c r="B4" s="47"/>
      <c r="C4" s="47"/>
      <c r="D4" s="47"/>
      <c r="E4" s="47"/>
      <c r="F4" s="47"/>
      <c r="H4" s="45" t="s">
        <v>159</v>
      </c>
      <c r="I4" s="45"/>
      <c r="J4" s="48" t="n">
        <f aca="false">IF($N$6=0,"",INDEX('Sales Register'!$B$5:$B$1004,$N$6))</f>
        <v>46273</v>
      </c>
      <c r="K4" s="48"/>
      <c r="L4" s="48"/>
    </row>
    <row r="5" customFormat="false" ht="15" hidden="false" customHeight="true" outlineLevel="0" collapsed="false">
      <c r="A5" s="47" t="str">
        <f aca="false">"GSTIN: "&amp;Settings!$B$7&amp;"   PAN: "&amp;Settings!$B$8</f>
        <v>GSTIN: 22AABCR1234M1Z5   PAN: AABCR1234M</v>
      </c>
      <c r="B5" s="47"/>
      <c r="C5" s="47"/>
      <c r="D5" s="47"/>
      <c r="E5" s="47"/>
      <c r="F5" s="47"/>
      <c r="H5" s="45" t="s">
        <v>143</v>
      </c>
      <c r="I5" s="45"/>
      <c r="J5" s="46" t="str">
        <f aca="false">IF($N$6=0,"",IFERROR(INDEX(Lists!$B$4:$B$40,MATCH(INDEX('Sales Register'!$N$5:$N$1004,$N$6),Lists!$A$4:$A$40,0))&amp;" ("&amp;INDEX('Sales Register'!$N$5:$N$1004,$N$6)&amp;")",""))</f>
        <v>Maharashtra (27)</v>
      </c>
      <c r="K5" s="46"/>
      <c r="L5" s="46"/>
      <c r="N5" s="3" t="s">
        <v>160</v>
      </c>
    </row>
    <row r="6" customFormat="false" ht="15" hidden="false" customHeight="true" outlineLevel="0" collapsed="false">
      <c r="A6" s="47" t="str">
        <f aca="false">"State: "&amp;Settings!$B$18&amp;" (code "&amp;Settings!$B$17&amp;")   "&amp;Settings!$B$9</f>
        <v>State: Chhattisgarh (code 22)   +91 98765 43210 · accounts@example.in</v>
      </c>
      <c r="B6" s="47"/>
      <c r="C6" s="47"/>
      <c r="D6" s="47"/>
      <c r="E6" s="47"/>
      <c r="F6" s="47"/>
      <c r="H6" s="45" t="s">
        <v>161</v>
      </c>
      <c r="I6" s="45"/>
      <c r="J6" s="46" t="str">
        <f aca="false">"No"</f>
        <v>No</v>
      </c>
      <c r="K6" s="46"/>
      <c r="L6" s="46"/>
      <c r="N6" s="49" t="n">
        <f aca="false">IFERROR(MATCH($N$3,'Sales Register'!$A$5:$A$1004,0),0)</f>
        <v>4</v>
      </c>
    </row>
    <row r="8" customFormat="false" ht="15" hidden="false" customHeight="true" outlineLevel="0" collapsed="false">
      <c r="A8" s="50" t="s">
        <v>162</v>
      </c>
      <c r="B8" s="50"/>
      <c r="C8" s="50"/>
      <c r="D8" s="50"/>
      <c r="E8" s="50"/>
      <c r="F8" s="50"/>
      <c r="N8" s="3" t="s">
        <v>163</v>
      </c>
    </row>
    <row r="9" customFormat="false" ht="15" hidden="false" customHeight="true" outlineLevel="0" collapsed="false">
      <c r="A9" s="45" t="str">
        <f aca="false">IF($N$6=0,"",INDEX('Sales Register'!$C$5:$C$1004,$N$6))</f>
        <v>Nagpur Auto Parts LLP</v>
      </c>
      <c r="B9" s="45"/>
      <c r="C9" s="45"/>
      <c r="D9" s="45"/>
      <c r="E9" s="45"/>
      <c r="F9" s="45"/>
      <c r="N9" s="49" t="n">
        <f aca="false">COUNTIF('Sales Register'!$A$5:$A$1004,$N$3)</f>
        <v>2</v>
      </c>
    </row>
    <row r="10" customFormat="false" ht="15" hidden="false" customHeight="true" outlineLevel="0" collapsed="false">
      <c r="A10" s="47" t="str">
        <f aca="false">IF($N$6=0,"",IFERROR(INDEX(Customers!$C$5:$C$204,MATCH(INDEX('Sales Register'!$C$5:$C$1004,$N$6),Customers!$A$5:$A$204,0))&amp;"",""))</f>
        <v>MIDC Hingna, Nagpur, Maharashtra 440016</v>
      </c>
      <c r="B10" s="47"/>
      <c r="C10" s="47"/>
      <c r="D10" s="47"/>
      <c r="E10" s="47"/>
      <c r="F10" s="47"/>
    </row>
    <row r="11" customFormat="false" ht="15" hidden="false" customHeight="true" outlineLevel="0" collapsed="false">
      <c r="A11" s="47" t="str">
        <f aca="false">IF($N$6=0,"",IF(INDEX('Sales Register'!$T$5:$T$1004,$N$6)="","Unregistered","GSTIN: "&amp;INDEX('Sales Register'!$T$5:$T$1004,$N$6))&amp;"   State code: "&amp;INDEX('Sales Register'!$N$5:$N$1004,$N$6))</f>
        <v>GSTIN: 27AAGFN7788P1Z9   State code: 27</v>
      </c>
      <c r="B11" s="47"/>
      <c r="C11" s="47"/>
      <c r="D11" s="47"/>
      <c r="E11" s="47"/>
      <c r="F11" s="47"/>
      <c r="N11" s="3" t="s">
        <v>164</v>
      </c>
    </row>
    <row r="13" customFormat="false" ht="30" hidden="false" customHeight="true" outlineLevel="0" collapsed="false">
      <c r="A13" s="21" t="s">
        <v>165</v>
      </c>
      <c r="B13" s="22" t="s">
        <v>166</v>
      </c>
      <c r="C13" s="22" t="s">
        <v>167</v>
      </c>
      <c r="D13" s="22" t="s">
        <v>113</v>
      </c>
      <c r="E13" s="22" t="s">
        <v>137</v>
      </c>
      <c r="F13" s="22" t="s">
        <v>168</v>
      </c>
      <c r="G13" s="22" t="s">
        <v>139</v>
      </c>
      <c r="H13" s="22" t="s">
        <v>142</v>
      </c>
      <c r="I13" s="22" t="s">
        <v>115</v>
      </c>
      <c r="J13" s="22" t="s">
        <v>145</v>
      </c>
      <c r="K13" s="22" t="s">
        <v>146</v>
      </c>
      <c r="L13" s="22" t="s">
        <v>147</v>
      </c>
      <c r="N13" s="3" t="s">
        <v>169</v>
      </c>
    </row>
    <row r="14" customFormat="false" ht="15" hidden="false" customHeight="true" outlineLevel="0" collapsed="false">
      <c r="A14" s="51" t="n">
        <f aca="false">IF(B14="","",1)</f>
        <v>1</v>
      </c>
      <c r="B14" s="52" t="str">
        <f aca="false">IFERROR(INDEX('Sales Register'!$D$5:$D$1004,MATCH($N$3&amp;"|"&amp;1,'Sales Register'!$H$5:$H$1004,0)),"")</f>
        <v>Precision shaft 40 mm</v>
      </c>
      <c r="C14" s="53" t="str">
        <f aca="false">IFERROR(INDEX('Sales Register'!$I$5:$I$1004,MATCH($N$3&amp;"|"&amp;1,'Sales Register'!$H$5:$H$1004,0)),"")</f>
        <v>84834000</v>
      </c>
      <c r="D14" s="52" t="str">
        <f aca="false">IFERROR(INDEX('Sales Register'!$J$5:$J$1004,MATCH($N$3&amp;"|"&amp;1,'Sales Register'!$H$5:$H$1004,0)),"")</f>
        <v>Nos</v>
      </c>
      <c r="E14" s="54" t="n">
        <f aca="false">IFERROR(INDEX('Sales Register'!$E$5:$E$1004,MATCH($N$3&amp;"|"&amp;1,'Sales Register'!$H$5:$H$1004,0)),"")</f>
        <v>25</v>
      </c>
      <c r="F14" s="55" t="n">
        <f aca="false">IFERROR(INDEX('Sales Register'!$K$5:$K$1004,MATCH($N$3&amp;"|"&amp;1,'Sales Register'!$H$5:$H$1004,0)),"")</f>
        <v>4100</v>
      </c>
      <c r="G14" s="56" t="n">
        <f aca="false">IFERROR(INDEX('Sales Register'!$G$5:$G$1004,MATCH($N$3&amp;"|"&amp;1,'Sales Register'!$H$5:$H$1004,0)),"")</f>
        <v>0.05</v>
      </c>
      <c r="H14" s="55" t="n">
        <f aca="false">IFERROR(INDEX('Sales Register'!$L$5:$L$1004,MATCH($N$3&amp;"|"&amp;1,'Sales Register'!$H$5:$H$1004,0)),"")</f>
        <v>97375</v>
      </c>
      <c r="I14" s="56" t="n">
        <f aca="false">IFERROR(INDEX('Sales Register'!$M$5:$M$1004,MATCH($N$3&amp;"|"&amp;1,'Sales Register'!$H$5:$H$1004,0)),"")</f>
        <v>0.18</v>
      </c>
      <c r="J14" s="55" t="n">
        <f aca="false">IFERROR(INDEX('Sales Register'!$P$5:$P$1004,MATCH($N$3&amp;"|"&amp;1,'Sales Register'!$H$5:$H$1004,0)),"")</f>
        <v>17527.5</v>
      </c>
      <c r="K14" s="55" t="n">
        <f aca="false">IFERROR(INDEX('Sales Register'!$Q$5:$Q$1004,MATCH($N$3&amp;"|"&amp;1,'Sales Register'!$H$5:$H$1004,0)),"")</f>
        <v>0</v>
      </c>
      <c r="L14" s="55" t="n">
        <f aca="false">IFERROR(INDEX('Sales Register'!$R$5:$R$1004,MATCH($N$3&amp;"|"&amp;1,'Sales Register'!$H$5:$H$1004,0)),"")</f>
        <v>0</v>
      </c>
      <c r="N14" s="38" t="str">
        <f aca="false">IF(ABS(H29+J29+K29+L29-SUMIF('Sales Register'!$A$5:$A$1004,$N$3,'Sales Register'!$S$5:$S$1004))&lt;0.01,"OK","CHECK")</f>
        <v>OK</v>
      </c>
    </row>
    <row r="15" customFormat="false" ht="15" hidden="false" customHeight="true" outlineLevel="0" collapsed="false">
      <c r="A15" s="51" t="n">
        <f aca="false">IF(B15="","",2)</f>
        <v>2</v>
      </c>
      <c r="B15" s="52" t="str">
        <f aca="false">IFERROR(INDEX('Sales Register'!$D$5:$D$1004,MATCH($N$3&amp;"|"&amp;2,'Sales Register'!$H$5:$H$1004,0)),"")</f>
        <v>CNC machining charges</v>
      </c>
      <c r="C15" s="53" t="str">
        <f aca="false">IFERROR(INDEX('Sales Register'!$I$5:$I$1004,MATCH($N$3&amp;"|"&amp;2,'Sales Register'!$H$5:$H$1004,0)),"")</f>
        <v>998873</v>
      </c>
      <c r="D15" s="52" t="str">
        <f aca="false">IFERROR(INDEX('Sales Register'!$J$5:$J$1004,MATCH($N$3&amp;"|"&amp;2,'Sales Register'!$H$5:$H$1004,0)),"")</f>
        <v>Hrs</v>
      </c>
      <c r="E15" s="54" t="n">
        <f aca="false">IFERROR(INDEX('Sales Register'!$E$5:$E$1004,MATCH($N$3&amp;"|"&amp;2,'Sales Register'!$H$5:$H$1004,0)),"")</f>
        <v>16</v>
      </c>
      <c r="F15" s="55" t="n">
        <f aca="false">IFERROR(INDEX('Sales Register'!$K$5:$K$1004,MATCH($N$3&amp;"|"&amp;2,'Sales Register'!$H$5:$H$1004,0)),"")</f>
        <v>1200</v>
      </c>
      <c r="G15" s="56" t="n">
        <f aca="false">IFERROR(INDEX('Sales Register'!$G$5:$G$1004,MATCH($N$3&amp;"|"&amp;2,'Sales Register'!$H$5:$H$1004,0)),"")</f>
        <v>0</v>
      </c>
      <c r="H15" s="55" t="n">
        <f aca="false">IFERROR(INDEX('Sales Register'!$L$5:$L$1004,MATCH($N$3&amp;"|"&amp;2,'Sales Register'!$H$5:$H$1004,0)),"")</f>
        <v>19200</v>
      </c>
      <c r="I15" s="56" t="n">
        <f aca="false">IFERROR(INDEX('Sales Register'!$M$5:$M$1004,MATCH($N$3&amp;"|"&amp;2,'Sales Register'!$H$5:$H$1004,0)),"")</f>
        <v>0.18</v>
      </c>
      <c r="J15" s="55" t="n">
        <f aca="false">IFERROR(INDEX('Sales Register'!$P$5:$P$1004,MATCH($N$3&amp;"|"&amp;2,'Sales Register'!$H$5:$H$1004,0)),"")</f>
        <v>3456</v>
      </c>
      <c r="K15" s="55" t="n">
        <f aca="false">IFERROR(INDEX('Sales Register'!$Q$5:$Q$1004,MATCH($N$3&amp;"|"&amp;2,'Sales Register'!$H$5:$H$1004,0)),"")</f>
        <v>0</v>
      </c>
      <c r="L15" s="55" t="n">
        <f aca="false">IFERROR(INDEX('Sales Register'!$R$5:$R$1004,MATCH($N$3&amp;"|"&amp;2,'Sales Register'!$H$5:$H$1004,0)),"")</f>
        <v>0</v>
      </c>
    </row>
    <row r="16" customFormat="false" ht="15" hidden="false" customHeight="true" outlineLevel="0" collapsed="false">
      <c r="A16" s="51" t="str">
        <f aca="false">IF(B16="","",3)</f>
        <v/>
      </c>
      <c r="B16" s="52" t="str">
        <f aca="false">IFERROR(INDEX('Sales Register'!$D$5:$D$1004,MATCH($N$3&amp;"|"&amp;3,'Sales Register'!$H$5:$H$1004,0)),"")</f>
        <v/>
      </c>
      <c r="C16" s="53" t="str">
        <f aca="false">IFERROR(INDEX('Sales Register'!$I$5:$I$1004,MATCH($N$3&amp;"|"&amp;3,'Sales Register'!$H$5:$H$1004,0)),"")</f>
        <v/>
      </c>
      <c r="D16" s="52" t="str">
        <f aca="false">IFERROR(INDEX('Sales Register'!$J$5:$J$1004,MATCH($N$3&amp;"|"&amp;3,'Sales Register'!$H$5:$H$1004,0)),"")</f>
        <v/>
      </c>
      <c r="E16" s="54" t="str">
        <f aca="false">IFERROR(INDEX('Sales Register'!$E$5:$E$1004,MATCH($N$3&amp;"|"&amp;3,'Sales Register'!$H$5:$H$1004,0)),"")</f>
        <v/>
      </c>
      <c r="F16" s="55" t="str">
        <f aca="false">IFERROR(INDEX('Sales Register'!$K$5:$K$1004,MATCH($N$3&amp;"|"&amp;3,'Sales Register'!$H$5:$H$1004,0)),"")</f>
        <v/>
      </c>
      <c r="G16" s="56" t="str">
        <f aca="false">IFERROR(INDEX('Sales Register'!$G$5:$G$1004,MATCH($N$3&amp;"|"&amp;3,'Sales Register'!$H$5:$H$1004,0)),"")</f>
        <v/>
      </c>
      <c r="H16" s="55" t="str">
        <f aca="false">IFERROR(INDEX('Sales Register'!$L$5:$L$1004,MATCH($N$3&amp;"|"&amp;3,'Sales Register'!$H$5:$H$1004,0)),"")</f>
        <v/>
      </c>
      <c r="I16" s="56" t="str">
        <f aca="false">IFERROR(INDEX('Sales Register'!$M$5:$M$1004,MATCH($N$3&amp;"|"&amp;3,'Sales Register'!$H$5:$H$1004,0)),"")</f>
        <v/>
      </c>
      <c r="J16" s="55" t="str">
        <f aca="false">IFERROR(INDEX('Sales Register'!$P$5:$P$1004,MATCH($N$3&amp;"|"&amp;3,'Sales Register'!$H$5:$H$1004,0)),"")</f>
        <v/>
      </c>
      <c r="K16" s="55" t="str">
        <f aca="false">IFERROR(INDEX('Sales Register'!$Q$5:$Q$1004,MATCH($N$3&amp;"|"&amp;3,'Sales Register'!$H$5:$H$1004,0)),"")</f>
        <v/>
      </c>
      <c r="L16" s="55" t="str">
        <f aca="false">IFERROR(INDEX('Sales Register'!$R$5:$R$1004,MATCH($N$3&amp;"|"&amp;3,'Sales Register'!$H$5:$H$1004,0)),"")</f>
        <v/>
      </c>
    </row>
    <row r="17" customFormat="false" ht="15" hidden="false" customHeight="true" outlineLevel="0" collapsed="false">
      <c r="A17" s="51" t="str">
        <f aca="false">IF(B17="","",4)</f>
        <v/>
      </c>
      <c r="B17" s="52" t="str">
        <f aca="false">IFERROR(INDEX('Sales Register'!$D$5:$D$1004,MATCH($N$3&amp;"|"&amp;4,'Sales Register'!$H$5:$H$1004,0)),"")</f>
        <v/>
      </c>
      <c r="C17" s="53" t="str">
        <f aca="false">IFERROR(INDEX('Sales Register'!$I$5:$I$1004,MATCH($N$3&amp;"|"&amp;4,'Sales Register'!$H$5:$H$1004,0)),"")</f>
        <v/>
      </c>
      <c r="D17" s="52" t="str">
        <f aca="false">IFERROR(INDEX('Sales Register'!$J$5:$J$1004,MATCH($N$3&amp;"|"&amp;4,'Sales Register'!$H$5:$H$1004,0)),"")</f>
        <v/>
      </c>
      <c r="E17" s="54" t="str">
        <f aca="false">IFERROR(INDEX('Sales Register'!$E$5:$E$1004,MATCH($N$3&amp;"|"&amp;4,'Sales Register'!$H$5:$H$1004,0)),"")</f>
        <v/>
      </c>
      <c r="F17" s="55" t="str">
        <f aca="false">IFERROR(INDEX('Sales Register'!$K$5:$K$1004,MATCH($N$3&amp;"|"&amp;4,'Sales Register'!$H$5:$H$1004,0)),"")</f>
        <v/>
      </c>
      <c r="G17" s="56" t="str">
        <f aca="false">IFERROR(INDEX('Sales Register'!$G$5:$G$1004,MATCH($N$3&amp;"|"&amp;4,'Sales Register'!$H$5:$H$1004,0)),"")</f>
        <v/>
      </c>
      <c r="H17" s="55" t="str">
        <f aca="false">IFERROR(INDEX('Sales Register'!$L$5:$L$1004,MATCH($N$3&amp;"|"&amp;4,'Sales Register'!$H$5:$H$1004,0)),"")</f>
        <v/>
      </c>
      <c r="I17" s="56" t="str">
        <f aca="false">IFERROR(INDEX('Sales Register'!$M$5:$M$1004,MATCH($N$3&amp;"|"&amp;4,'Sales Register'!$H$5:$H$1004,0)),"")</f>
        <v/>
      </c>
      <c r="J17" s="55" t="str">
        <f aca="false">IFERROR(INDEX('Sales Register'!$P$5:$P$1004,MATCH($N$3&amp;"|"&amp;4,'Sales Register'!$H$5:$H$1004,0)),"")</f>
        <v/>
      </c>
      <c r="K17" s="55" t="str">
        <f aca="false">IFERROR(INDEX('Sales Register'!$Q$5:$Q$1004,MATCH($N$3&amp;"|"&amp;4,'Sales Register'!$H$5:$H$1004,0)),"")</f>
        <v/>
      </c>
      <c r="L17" s="55" t="str">
        <f aca="false">IFERROR(INDEX('Sales Register'!$R$5:$R$1004,MATCH($N$3&amp;"|"&amp;4,'Sales Register'!$H$5:$H$1004,0)),"")</f>
        <v/>
      </c>
    </row>
    <row r="18" customFormat="false" ht="15" hidden="false" customHeight="true" outlineLevel="0" collapsed="false">
      <c r="A18" s="51" t="str">
        <f aca="false">IF(B18="","",5)</f>
        <v/>
      </c>
      <c r="B18" s="52" t="str">
        <f aca="false">IFERROR(INDEX('Sales Register'!$D$5:$D$1004,MATCH($N$3&amp;"|"&amp;5,'Sales Register'!$H$5:$H$1004,0)),"")</f>
        <v/>
      </c>
      <c r="C18" s="53" t="str">
        <f aca="false">IFERROR(INDEX('Sales Register'!$I$5:$I$1004,MATCH($N$3&amp;"|"&amp;5,'Sales Register'!$H$5:$H$1004,0)),"")</f>
        <v/>
      </c>
      <c r="D18" s="52" t="str">
        <f aca="false">IFERROR(INDEX('Sales Register'!$J$5:$J$1004,MATCH($N$3&amp;"|"&amp;5,'Sales Register'!$H$5:$H$1004,0)),"")</f>
        <v/>
      </c>
      <c r="E18" s="54" t="str">
        <f aca="false">IFERROR(INDEX('Sales Register'!$E$5:$E$1004,MATCH($N$3&amp;"|"&amp;5,'Sales Register'!$H$5:$H$1004,0)),"")</f>
        <v/>
      </c>
      <c r="F18" s="55" t="str">
        <f aca="false">IFERROR(INDEX('Sales Register'!$K$5:$K$1004,MATCH($N$3&amp;"|"&amp;5,'Sales Register'!$H$5:$H$1004,0)),"")</f>
        <v/>
      </c>
      <c r="G18" s="56" t="str">
        <f aca="false">IFERROR(INDEX('Sales Register'!$G$5:$G$1004,MATCH($N$3&amp;"|"&amp;5,'Sales Register'!$H$5:$H$1004,0)),"")</f>
        <v/>
      </c>
      <c r="H18" s="55" t="str">
        <f aca="false">IFERROR(INDEX('Sales Register'!$L$5:$L$1004,MATCH($N$3&amp;"|"&amp;5,'Sales Register'!$H$5:$H$1004,0)),"")</f>
        <v/>
      </c>
      <c r="I18" s="56" t="str">
        <f aca="false">IFERROR(INDEX('Sales Register'!$M$5:$M$1004,MATCH($N$3&amp;"|"&amp;5,'Sales Register'!$H$5:$H$1004,0)),"")</f>
        <v/>
      </c>
      <c r="J18" s="55" t="str">
        <f aca="false">IFERROR(INDEX('Sales Register'!$P$5:$P$1004,MATCH($N$3&amp;"|"&amp;5,'Sales Register'!$H$5:$H$1004,0)),"")</f>
        <v/>
      </c>
      <c r="K18" s="55" t="str">
        <f aca="false">IFERROR(INDEX('Sales Register'!$Q$5:$Q$1004,MATCH($N$3&amp;"|"&amp;5,'Sales Register'!$H$5:$H$1004,0)),"")</f>
        <v/>
      </c>
      <c r="L18" s="55" t="str">
        <f aca="false">IFERROR(INDEX('Sales Register'!$R$5:$R$1004,MATCH($N$3&amp;"|"&amp;5,'Sales Register'!$H$5:$H$1004,0)),"")</f>
        <v/>
      </c>
    </row>
    <row r="19" customFormat="false" ht="15" hidden="false" customHeight="true" outlineLevel="0" collapsed="false">
      <c r="A19" s="51" t="str">
        <f aca="false">IF(B19="","",6)</f>
        <v/>
      </c>
      <c r="B19" s="52" t="str">
        <f aca="false">IFERROR(INDEX('Sales Register'!$D$5:$D$1004,MATCH($N$3&amp;"|"&amp;6,'Sales Register'!$H$5:$H$1004,0)),"")</f>
        <v/>
      </c>
      <c r="C19" s="53" t="str">
        <f aca="false">IFERROR(INDEX('Sales Register'!$I$5:$I$1004,MATCH($N$3&amp;"|"&amp;6,'Sales Register'!$H$5:$H$1004,0)),"")</f>
        <v/>
      </c>
      <c r="D19" s="52" t="str">
        <f aca="false">IFERROR(INDEX('Sales Register'!$J$5:$J$1004,MATCH($N$3&amp;"|"&amp;6,'Sales Register'!$H$5:$H$1004,0)),"")</f>
        <v/>
      </c>
      <c r="E19" s="54" t="str">
        <f aca="false">IFERROR(INDEX('Sales Register'!$E$5:$E$1004,MATCH($N$3&amp;"|"&amp;6,'Sales Register'!$H$5:$H$1004,0)),"")</f>
        <v/>
      </c>
      <c r="F19" s="55" t="str">
        <f aca="false">IFERROR(INDEX('Sales Register'!$K$5:$K$1004,MATCH($N$3&amp;"|"&amp;6,'Sales Register'!$H$5:$H$1004,0)),"")</f>
        <v/>
      </c>
      <c r="G19" s="56" t="str">
        <f aca="false">IFERROR(INDEX('Sales Register'!$G$5:$G$1004,MATCH($N$3&amp;"|"&amp;6,'Sales Register'!$H$5:$H$1004,0)),"")</f>
        <v/>
      </c>
      <c r="H19" s="55" t="str">
        <f aca="false">IFERROR(INDEX('Sales Register'!$L$5:$L$1004,MATCH($N$3&amp;"|"&amp;6,'Sales Register'!$H$5:$H$1004,0)),"")</f>
        <v/>
      </c>
      <c r="I19" s="56" t="str">
        <f aca="false">IFERROR(INDEX('Sales Register'!$M$5:$M$1004,MATCH($N$3&amp;"|"&amp;6,'Sales Register'!$H$5:$H$1004,0)),"")</f>
        <v/>
      </c>
      <c r="J19" s="55" t="str">
        <f aca="false">IFERROR(INDEX('Sales Register'!$P$5:$P$1004,MATCH($N$3&amp;"|"&amp;6,'Sales Register'!$H$5:$H$1004,0)),"")</f>
        <v/>
      </c>
      <c r="K19" s="55" t="str">
        <f aca="false">IFERROR(INDEX('Sales Register'!$Q$5:$Q$1004,MATCH($N$3&amp;"|"&amp;6,'Sales Register'!$H$5:$H$1004,0)),"")</f>
        <v/>
      </c>
      <c r="L19" s="55" t="str">
        <f aca="false">IFERROR(INDEX('Sales Register'!$R$5:$R$1004,MATCH($N$3&amp;"|"&amp;6,'Sales Register'!$H$5:$H$1004,0)),"")</f>
        <v/>
      </c>
    </row>
    <row r="20" customFormat="false" ht="15" hidden="false" customHeight="true" outlineLevel="0" collapsed="false">
      <c r="A20" s="51" t="str">
        <f aca="false">IF(B20="","",7)</f>
        <v/>
      </c>
      <c r="B20" s="52" t="str">
        <f aca="false">IFERROR(INDEX('Sales Register'!$D$5:$D$1004,MATCH($N$3&amp;"|"&amp;7,'Sales Register'!$H$5:$H$1004,0)),"")</f>
        <v/>
      </c>
      <c r="C20" s="53" t="str">
        <f aca="false">IFERROR(INDEX('Sales Register'!$I$5:$I$1004,MATCH($N$3&amp;"|"&amp;7,'Sales Register'!$H$5:$H$1004,0)),"")</f>
        <v/>
      </c>
      <c r="D20" s="52" t="str">
        <f aca="false">IFERROR(INDEX('Sales Register'!$J$5:$J$1004,MATCH($N$3&amp;"|"&amp;7,'Sales Register'!$H$5:$H$1004,0)),"")</f>
        <v/>
      </c>
      <c r="E20" s="54" t="str">
        <f aca="false">IFERROR(INDEX('Sales Register'!$E$5:$E$1004,MATCH($N$3&amp;"|"&amp;7,'Sales Register'!$H$5:$H$1004,0)),"")</f>
        <v/>
      </c>
      <c r="F20" s="55" t="str">
        <f aca="false">IFERROR(INDEX('Sales Register'!$K$5:$K$1004,MATCH($N$3&amp;"|"&amp;7,'Sales Register'!$H$5:$H$1004,0)),"")</f>
        <v/>
      </c>
      <c r="G20" s="56" t="str">
        <f aca="false">IFERROR(INDEX('Sales Register'!$G$5:$G$1004,MATCH($N$3&amp;"|"&amp;7,'Sales Register'!$H$5:$H$1004,0)),"")</f>
        <v/>
      </c>
      <c r="H20" s="55" t="str">
        <f aca="false">IFERROR(INDEX('Sales Register'!$L$5:$L$1004,MATCH($N$3&amp;"|"&amp;7,'Sales Register'!$H$5:$H$1004,0)),"")</f>
        <v/>
      </c>
      <c r="I20" s="56" t="str">
        <f aca="false">IFERROR(INDEX('Sales Register'!$M$5:$M$1004,MATCH($N$3&amp;"|"&amp;7,'Sales Register'!$H$5:$H$1004,0)),"")</f>
        <v/>
      </c>
      <c r="J20" s="55" t="str">
        <f aca="false">IFERROR(INDEX('Sales Register'!$P$5:$P$1004,MATCH($N$3&amp;"|"&amp;7,'Sales Register'!$H$5:$H$1004,0)),"")</f>
        <v/>
      </c>
      <c r="K20" s="55" t="str">
        <f aca="false">IFERROR(INDEX('Sales Register'!$Q$5:$Q$1004,MATCH($N$3&amp;"|"&amp;7,'Sales Register'!$H$5:$H$1004,0)),"")</f>
        <v/>
      </c>
      <c r="L20" s="55" t="str">
        <f aca="false">IFERROR(INDEX('Sales Register'!$R$5:$R$1004,MATCH($N$3&amp;"|"&amp;7,'Sales Register'!$H$5:$H$1004,0)),"")</f>
        <v/>
      </c>
    </row>
    <row r="21" customFormat="false" ht="15" hidden="false" customHeight="true" outlineLevel="0" collapsed="false">
      <c r="A21" s="51" t="str">
        <f aca="false">IF(B21="","",8)</f>
        <v/>
      </c>
      <c r="B21" s="52" t="str">
        <f aca="false">IFERROR(INDEX('Sales Register'!$D$5:$D$1004,MATCH($N$3&amp;"|"&amp;8,'Sales Register'!$H$5:$H$1004,0)),"")</f>
        <v/>
      </c>
      <c r="C21" s="53" t="str">
        <f aca="false">IFERROR(INDEX('Sales Register'!$I$5:$I$1004,MATCH($N$3&amp;"|"&amp;8,'Sales Register'!$H$5:$H$1004,0)),"")</f>
        <v/>
      </c>
      <c r="D21" s="52" t="str">
        <f aca="false">IFERROR(INDEX('Sales Register'!$J$5:$J$1004,MATCH($N$3&amp;"|"&amp;8,'Sales Register'!$H$5:$H$1004,0)),"")</f>
        <v/>
      </c>
      <c r="E21" s="54" t="str">
        <f aca="false">IFERROR(INDEX('Sales Register'!$E$5:$E$1004,MATCH($N$3&amp;"|"&amp;8,'Sales Register'!$H$5:$H$1004,0)),"")</f>
        <v/>
      </c>
      <c r="F21" s="55" t="str">
        <f aca="false">IFERROR(INDEX('Sales Register'!$K$5:$K$1004,MATCH($N$3&amp;"|"&amp;8,'Sales Register'!$H$5:$H$1004,0)),"")</f>
        <v/>
      </c>
      <c r="G21" s="56" t="str">
        <f aca="false">IFERROR(INDEX('Sales Register'!$G$5:$G$1004,MATCH($N$3&amp;"|"&amp;8,'Sales Register'!$H$5:$H$1004,0)),"")</f>
        <v/>
      </c>
      <c r="H21" s="55" t="str">
        <f aca="false">IFERROR(INDEX('Sales Register'!$L$5:$L$1004,MATCH($N$3&amp;"|"&amp;8,'Sales Register'!$H$5:$H$1004,0)),"")</f>
        <v/>
      </c>
      <c r="I21" s="56" t="str">
        <f aca="false">IFERROR(INDEX('Sales Register'!$M$5:$M$1004,MATCH($N$3&amp;"|"&amp;8,'Sales Register'!$H$5:$H$1004,0)),"")</f>
        <v/>
      </c>
      <c r="J21" s="55" t="str">
        <f aca="false">IFERROR(INDEX('Sales Register'!$P$5:$P$1004,MATCH($N$3&amp;"|"&amp;8,'Sales Register'!$H$5:$H$1004,0)),"")</f>
        <v/>
      </c>
      <c r="K21" s="55" t="str">
        <f aca="false">IFERROR(INDEX('Sales Register'!$Q$5:$Q$1004,MATCH($N$3&amp;"|"&amp;8,'Sales Register'!$H$5:$H$1004,0)),"")</f>
        <v/>
      </c>
      <c r="L21" s="55" t="str">
        <f aca="false">IFERROR(INDEX('Sales Register'!$R$5:$R$1004,MATCH($N$3&amp;"|"&amp;8,'Sales Register'!$H$5:$H$1004,0)),"")</f>
        <v/>
      </c>
    </row>
    <row r="22" customFormat="false" ht="15" hidden="false" customHeight="true" outlineLevel="0" collapsed="false">
      <c r="A22" s="51" t="str">
        <f aca="false">IF(B22="","",9)</f>
        <v/>
      </c>
      <c r="B22" s="52" t="str">
        <f aca="false">IFERROR(INDEX('Sales Register'!$D$5:$D$1004,MATCH($N$3&amp;"|"&amp;9,'Sales Register'!$H$5:$H$1004,0)),"")</f>
        <v/>
      </c>
      <c r="C22" s="53" t="str">
        <f aca="false">IFERROR(INDEX('Sales Register'!$I$5:$I$1004,MATCH($N$3&amp;"|"&amp;9,'Sales Register'!$H$5:$H$1004,0)),"")</f>
        <v/>
      </c>
      <c r="D22" s="52" t="str">
        <f aca="false">IFERROR(INDEX('Sales Register'!$J$5:$J$1004,MATCH($N$3&amp;"|"&amp;9,'Sales Register'!$H$5:$H$1004,0)),"")</f>
        <v/>
      </c>
      <c r="E22" s="54" t="str">
        <f aca="false">IFERROR(INDEX('Sales Register'!$E$5:$E$1004,MATCH($N$3&amp;"|"&amp;9,'Sales Register'!$H$5:$H$1004,0)),"")</f>
        <v/>
      </c>
      <c r="F22" s="55" t="str">
        <f aca="false">IFERROR(INDEX('Sales Register'!$K$5:$K$1004,MATCH($N$3&amp;"|"&amp;9,'Sales Register'!$H$5:$H$1004,0)),"")</f>
        <v/>
      </c>
      <c r="G22" s="56" t="str">
        <f aca="false">IFERROR(INDEX('Sales Register'!$G$5:$G$1004,MATCH($N$3&amp;"|"&amp;9,'Sales Register'!$H$5:$H$1004,0)),"")</f>
        <v/>
      </c>
      <c r="H22" s="55" t="str">
        <f aca="false">IFERROR(INDEX('Sales Register'!$L$5:$L$1004,MATCH($N$3&amp;"|"&amp;9,'Sales Register'!$H$5:$H$1004,0)),"")</f>
        <v/>
      </c>
      <c r="I22" s="56" t="str">
        <f aca="false">IFERROR(INDEX('Sales Register'!$M$5:$M$1004,MATCH($N$3&amp;"|"&amp;9,'Sales Register'!$H$5:$H$1004,0)),"")</f>
        <v/>
      </c>
      <c r="J22" s="55" t="str">
        <f aca="false">IFERROR(INDEX('Sales Register'!$P$5:$P$1004,MATCH($N$3&amp;"|"&amp;9,'Sales Register'!$H$5:$H$1004,0)),"")</f>
        <v/>
      </c>
      <c r="K22" s="55" t="str">
        <f aca="false">IFERROR(INDEX('Sales Register'!$Q$5:$Q$1004,MATCH($N$3&amp;"|"&amp;9,'Sales Register'!$H$5:$H$1004,0)),"")</f>
        <v/>
      </c>
      <c r="L22" s="55" t="str">
        <f aca="false">IFERROR(INDEX('Sales Register'!$R$5:$R$1004,MATCH($N$3&amp;"|"&amp;9,'Sales Register'!$H$5:$H$1004,0)),"")</f>
        <v/>
      </c>
    </row>
    <row r="23" customFormat="false" ht="15" hidden="false" customHeight="true" outlineLevel="0" collapsed="false">
      <c r="A23" s="51" t="str">
        <f aca="false">IF(B23="","",10)</f>
        <v/>
      </c>
      <c r="B23" s="52" t="str">
        <f aca="false">IFERROR(INDEX('Sales Register'!$D$5:$D$1004,MATCH($N$3&amp;"|"&amp;10,'Sales Register'!$H$5:$H$1004,0)),"")</f>
        <v/>
      </c>
      <c r="C23" s="53" t="str">
        <f aca="false">IFERROR(INDEX('Sales Register'!$I$5:$I$1004,MATCH($N$3&amp;"|"&amp;10,'Sales Register'!$H$5:$H$1004,0)),"")</f>
        <v/>
      </c>
      <c r="D23" s="52" t="str">
        <f aca="false">IFERROR(INDEX('Sales Register'!$J$5:$J$1004,MATCH($N$3&amp;"|"&amp;10,'Sales Register'!$H$5:$H$1004,0)),"")</f>
        <v/>
      </c>
      <c r="E23" s="54" t="str">
        <f aca="false">IFERROR(INDEX('Sales Register'!$E$5:$E$1004,MATCH($N$3&amp;"|"&amp;10,'Sales Register'!$H$5:$H$1004,0)),"")</f>
        <v/>
      </c>
      <c r="F23" s="55" t="str">
        <f aca="false">IFERROR(INDEX('Sales Register'!$K$5:$K$1004,MATCH($N$3&amp;"|"&amp;10,'Sales Register'!$H$5:$H$1004,0)),"")</f>
        <v/>
      </c>
      <c r="G23" s="56" t="str">
        <f aca="false">IFERROR(INDEX('Sales Register'!$G$5:$G$1004,MATCH($N$3&amp;"|"&amp;10,'Sales Register'!$H$5:$H$1004,0)),"")</f>
        <v/>
      </c>
      <c r="H23" s="55" t="str">
        <f aca="false">IFERROR(INDEX('Sales Register'!$L$5:$L$1004,MATCH($N$3&amp;"|"&amp;10,'Sales Register'!$H$5:$H$1004,0)),"")</f>
        <v/>
      </c>
      <c r="I23" s="56" t="str">
        <f aca="false">IFERROR(INDEX('Sales Register'!$M$5:$M$1004,MATCH($N$3&amp;"|"&amp;10,'Sales Register'!$H$5:$H$1004,0)),"")</f>
        <v/>
      </c>
      <c r="J23" s="55" t="str">
        <f aca="false">IFERROR(INDEX('Sales Register'!$P$5:$P$1004,MATCH($N$3&amp;"|"&amp;10,'Sales Register'!$H$5:$H$1004,0)),"")</f>
        <v/>
      </c>
      <c r="K23" s="55" t="str">
        <f aca="false">IFERROR(INDEX('Sales Register'!$Q$5:$Q$1004,MATCH($N$3&amp;"|"&amp;10,'Sales Register'!$H$5:$H$1004,0)),"")</f>
        <v/>
      </c>
      <c r="L23" s="55" t="str">
        <f aca="false">IFERROR(INDEX('Sales Register'!$R$5:$R$1004,MATCH($N$3&amp;"|"&amp;10,'Sales Register'!$H$5:$H$1004,0)),"")</f>
        <v/>
      </c>
    </row>
    <row r="24" customFormat="false" ht="15" hidden="false" customHeight="true" outlineLevel="0" collapsed="false">
      <c r="A24" s="51" t="str">
        <f aca="false">IF(B24="","",11)</f>
        <v/>
      </c>
      <c r="B24" s="52" t="str">
        <f aca="false">IFERROR(INDEX('Sales Register'!$D$5:$D$1004,MATCH($N$3&amp;"|"&amp;11,'Sales Register'!$H$5:$H$1004,0)),"")</f>
        <v/>
      </c>
      <c r="C24" s="53" t="str">
        <f aca="false">IFERROR(INDEX('Sales Register'!$I$5:$I$1004,MATCH($N$3&amp;"|"&amp;11,'Sales Register'!$H$5:$H$1004,0)),"")</f>
        <v/>
      </c>
      <c r="D24" s="52" t="str">
        <f aca="false">IFERROR(INDEX('Sales Register'!$J$5:$J$1004,MATCH($N$3&amp;"|"&amp;11,'Sales Register'!$H$5:$H$1004,0)),"")</f>
        <v/>
      </c>
      <c r="E24" s="54" t="str">
        <f aca="false">IFERROR(INDEX('Sales Register'!$E$5:$E$1004,MATCH($N$3&amp;"|"&amp;11,'Sales Register'!$H$5:$H$1004,0)),"")</f>
        <v/>
      </c>
      <c r="F24" s="55" t="str">
        <f aca="false">IFERROR(INDEX('Sales Register'!$K$5:$K$1004,MATCH($N$3&amp;"|"&amp;11,'Sales Register'!$H$5:$H$1004,0)),"")</f>
        <v/>
      </c>
      <c r="G24" s="56" t="str">
        <f aca="false">IFERROR(INDEX('Sales Register'!$G$5:$G$1004,MATCH($N$3&amp;"|"&amp;11,'Sales Register'!$H$5:$H$1004,0)),"")</f>
        <v/>
      </c>
      <c r="H24" s="55" t="str">
        <f aca="false">IFERROR(INDEX('Sales Register'!$L$5:$L$1004,MATCH($N$3&amp;"|"&amp;11,'Sales Register'!$H$5:$H$1004,0)),"")</f>
        <v/>
      </c>
      <c r="I24" s="56" t="str">
        <f aca="false">IFERROR(INDEX('Sales Register'!$M$5:$M$1004,MATCH($N$3&amp;"|"&amp;11,'Sales Register'!$H$5:$H$1004,0)),"")</f>
        <v/>
      </c>
      <c r="J24" s="55" t="str">
        <f aca="false">IFERROR(INDEX('Sales Register'!$P$5:$P$1004,MATCH($N$3&amp;"|"&amp;11,'Sales Register'!$H$5:$H$1004,0)),"")</f>
        <v/>
      </c>
      <c r="K24" s="55" t="str">
        <f aca="false">IFERROR(INDEX('Sales Register'!$Q$5:$Q$1004,MATCH($N$3&amp;"|"&amp;11,'Sales Register'!$H$5:$H$1004,0)),"")</f>
        <v/>
      </c>
      <c r="L24" s="55" t="str">
        <f aca="false">IFERROR(INDEX('Sales Register'!$R$5:$R$1004,MATCH($N$3&amp;"|"&amp;11,'Sales Register'!$H$5:$H$1004,0)),"")</f>
        <v/>
      </c>
    </row>
    <row r="25" customFormat="false" ht="15" hidden="false" customHeight="true" outlineLevel="0" collapsed="false">
      <c r="A25" s="51" t="str">
        <f aca="false">IF(B25="","",12)</f>
        <v/>
      </c>
      <c r="B25" s="52" t="str">
        <f aca="false">IFERROR(INDEX('Sales Register'!$D$5:$D$1004,MATCH($N$3&amp;"|"&amp;12,'Sales Register'!$H$5:$H$1004,0)),"")</f>
        <v/>
      </c>
      <c r="C25" s="53" t="str">
        <f aca="false">IFERROR(INDEX('Sales Register'!$I$5:$I$1004,MATCH($N$3&amp;"|"&amp;12,'Sales Register'!$H$5:$H$1004,0)),"")</f>
        <v/>
      </c>
      <c r="D25" s="52" t="str">
        <f aca="false">IFERROR(INDEX('Sales Register'!$J$5:$J$1004,MATCH($N$3&amp;"|"&amp;12,'Sales Register'!$H$5:$H$1004,0)),"")</f>
        <v/>
      </c>
      <c r="E25" s="54" t="str">
        <f aca="false">IFERROR(INDEX('Sales Register'!$E$5:$E$1004,MATCH($N$3&amp;"|"&amp;12,'Sales Register'!$H$5:$H$1004,0)),"")</f>
        <v/>
      </c>
      <c r="F25" s="55" t="str">
        <f aca="false">IFERROR(INDEX('Sales Register'!$K$5:$K$1004,MATCH($N$3&amp;"|"&amp;12,'Sales Register'!$H$5:$H$1004,0)),"")</f>
        <v/>
      </c>
      <c r="G25" s="56" t="str">
        <f aca="false">IFERROR(INDEX('Sales Register'!$G$5:$G$1004,MATCH($N$3&amp;"|"&amp;12,'Sales Register'!$H$5:$H$1004,0)),"")</f>
        <v/>
      </c>
      <c r="H25" s="55" t="str">
        <f aca="false">IFERROR(INDEX('Sales Register'!$L$5:$L$1004,MATCH($N$3&amp;"|"&amp;12,'Sales Register'!$H$5:$H$1004,0)),"")</f>
        <v/>
      </c>
      <c r="I25" s="56" t="str">
        <f aca="false">IFERROR(INDEX('Sales Register'!$M$5:$M$1004,MATCH($N$3&amp;"|"&amp;12,'Sales Register'!$H$5:$H$1004,0)),"")</f>
        <v/>
      </c>
      <c r="J25" s="55" t="str">
        <f aca="false">IFERROR(INDEX('Sales Register'!$P$5:$P$1004,MATCH($N$3&amp;"|"&amp;12,'Sales Register'!$H$5:$H$1004,0)),"")</f>
        <v/>
      </c>
      <c r="K25" s="55" t="str">
        <f aca="false">IFERROR(INDEX('Sales Register'!$Q$5:$Q$1004,MATCH($N$3&amp;"|"&amp;12,'Sales Register'!$H$5:$H$1004,0)),"")</f>
        <v/>
      </c>
      <c r="L25" s="55" t="str">
        <f aca="false">IFERROR(INDEX('Sales Register'!$R$5:$R$1004,MATCH($N$3&amp;"|"&amp;12,'Sales Register'!$H$5:$H$1004,0)),"")</f>
        <v/>
      </c>
    </row>
    <row r="26" customFormat="false" ht="15" hidden="false" customHeight="true" outlineLevel="0" collapsed="false">
      <c r="A26" s="51" t="str">
        <f aca="false">IF(B26="","",13)</f>
        <v/>
      </c>
      <c r="B26" s="52" t="str">
        <f aca="false">IFERROR(INDEX('Sales Register'!$D$5:$D$1004,MATCH($N$3&amp;"|"&amp;13,'Sales Register'!$H$5:$H$1004,0)),"")</f>
        <v/>
      </c>
      <c r="C26" s="53" t="str">
        <f aca="false">IFERROR(INDEX('Sales Register'!$I$5:$I$1004,MATCH($N$3&amp;"|"&amp;13,'Sales Register'!$H$5:$H$1004,0)),"")</f>
        <v/>
      </c>
      <c r="D26" s="52" t="str">
        <f aca="false">IFERROR(INDEX('Sales Register'!$J$5:$J$1004,MATCH($N$3&amp;"|"&amp;13,'Sales Register'!$H$5:$H$1004,0)),"")</f>
        <v/>
      </c>
      <c r="E26" s="54" t="str">
        <f aca="false">IFERROR(INDEX('Sales Register'!$E$5:$E$1004,MATCH($N$3&amp;"|"&amp;13,'Sales Register'!$H$5:$H$1004,0)),"")</f>
        <v/>
      </c>
      <c r="F26" s="55" t="str">
        <f aca="false">IFERROR(INDEX('Sales Register'!$K$5:$K$1004,MATCH($N$3&amp;"|"&amp;13,'Sales Register'!$H$5:$H$1004,0)),"")</f>
        <v/>
      </c>
      <c r="G26" s="56" t="str">
        <f aca="false">IFERROR(INDEX('Sales Register'!$G$5:$G$1004,MATCH($N$3&amp;"|"&amp;13,'Sales Register'!$H$5:$H$1004,0)),"")</f>
        <v/>
      </c>
      <c r="H26" s="55" t="str">
        <f aca="false">IFERROR(INDEX('Sales Register'!$L$5:$L$1004,MATCH($N$3&amp;"|"&amp;13,'Sales Register'!$H$5:$H$1004,0)),"")</f>
        <v/>
      </c>
      <c r="I26" s="56" t="str">
        <f aca="false">IFERROR(INDEX('Sales Register'!$M$5:$M$1004,MATCH($N$3&amp;"|"&amp;13,'Sales Register'!$H$5:$H$1004,0)),"")</f>
        <v/>
      </c>
      <c r="J26" s="55" t="str">
        <f aca="false">IFERROR(INDEX('Sales Register'!$P$5:$P$1004,MATCH($N$3&amp;"|"&amp;13,'Sales Register'!$H$5:$H$1004,0)),"")</f>
        <v/>
      </c>
      <c r="K26" s="55" t="str">
        <f aca="false">IFERROR(INDEX('Sales Register'!$Q$5:$Q$1004,MATCH($N$3&amp;"|"&amp;13,'Sales Register'!$H$5:$H$1004,0)),"")</f>
        <v/>
      </c>
      <c r="L26" s="55" t="str">
        <f aca="false">IFERROR(INDEX('Sales Register'!$R$5:$R$1004,MATCH($N$3&amp;"|"&amp;13,'Sales Register'!$H$5:$H$1004,0)),"")</f>
        <v/>
      </c>
    </row>
    <row r="27" customFormat="false" ht="15" hidden="false" customHeight="true" outlineLevel="0" collapsed="false">
      <c r="A27" s="51" t="str">
        <f aca="false">IF(B27="","",14)</f>
        <v/>
      </c>
      <c r="B27" s="52" t="str">
        <f aca="false">IFERROR(INDEX('Sales Register'!$D$5:$D$1004,MATCH($N$3&amp;"|"&amp;14,'Sales Register'!$H$5:$H$1004,0)),"")</f>
        <v/>
      </c>
      <c r="C27" s="53" t="str">
        <f aca="false">IFERROR(INDEX('Sales Register'!$I$5:$I$1004,MATCH($N$3&amp;"|"&amp;14,'Sales Register'!$H$5:$H$1004,0)),"")</f>
        <v/>
      </c>
      <c r="D27" s="52" t="str">
        <f aca="false">IFERROR(INDEX('Sales Register'!$J$5:$J$1004,MATCH($N$3&amp;"|"&amp;14,'Sales Register'!$H$5:$H$1004,0)),"")</f>
        <v/>
      </c>
      <c r="E27" s="54" t="str">
        <f aca="false">IFERROR(INDEX('Sales Register'!$E$5:$E$1004,MATCH($N$3&amp;"|"&amp;14,'Sales Register'!$H$5:$H$1004,0)),"")</f>
        <v/>
      </c>
      <c r="F27" s="55" t="str">
        <f aca="false">IFERROR(INDEX('Sales Register'!$K$5:$K$1004,MATCH($N$3&amp;"|"&amp;14,'Sales Register'!$H$5:$H$1004,0)),"")</f>
        <v/>
      </c>
      <c r="G27" s="56" t="str">
        <f aca="false">IFERROR(INDEX('Sales Register'!$G$5:$G$1004,MATCH($N$3&amp;"|"&amp;14,'Sales Register'!$H$5:$H$1004,0)),"")</f>
        <v/>
      </c>
      <c r="H27" s="55" t="str">
        <f aca="false">IFERROR(INDEX('Sales Register'!$L$5:$L$1004,MATCH($N$3&amp;"|"&amp;14,'Sales Register'!$H$5:$H$1004,0)),"")</f>
        <v/>
      </c>
      <c r="I27" s="56" t="str">
        <f aca="false">IFERROR(INDEX('Sales Register'!$M$5:$M$1004,MATCH($N$3&amp;"|"&amp;14,'Sales Register'!$H$5:$H$1004,0)),"")</f>
        <v/>
      </c>
      <c r="J27" s="55" t="str">
        <f aca="false">IFERROR(INDEX('Sales Register'!$P$5:$P$1004,MATCH($N$3&amp;"|"&amp;14,'Sales Register'!$H$5:$H$1004,0)),"")</f>
        <v/>
      </c>
      <c r="K27" s="55" t="str">
        <f aca="false">IFERROR(INDEX('Sales Register'!$Q$5:$Q$1004,MATCH($N$3&amp;"|"&amp;14,'Sales Register'!$H$5:$H$1004,0)),"")</f>
        <v/>
      </c>
      <c r="L27" s="55" t="str">
        <f aca="false">IFERROR(INDEX('Sales Register'!$R$5:$R$1004,MATCH($N$3&amp;"|"&amp;14,'Sales Register'!$H$5:$H$1004,0)),"")</f>
        <v/>
      </c>
    </row>
    <row r="28" customFormat="false" ht="15" hidden="false" customHeight="true" outlineLevel="0" collapsed="false">
      <c r="A28" s="51" t="str">
        <f aca="false">IF(B28="","",15)</f>
        <v/>
      </c>
      <c r="B28" s="52" t="str">
        <f aca="false">IFERROR(INDEX('Sales Register'!$D$5:$D$1004,MATCH($N$3&amp;"|"&amp;15,'Sales Register'!$H$5:$H$1004,0)),"")</f>
        <v/>
      </c>
      <c r="C28" s="53" t="str">
        <f aca="false">IFERROR(INDEX('Sales Register'!$I$5:$I$1004,MATCH($N$3&amp;"|"&amp;15,'Sales Register'!$H$5:$H$1004,0)),"")</f>
        <v/>
      </c>
      <c r="D28" s="52" t="str">
        <f aca="false">IFERROR(INDEX('Sales Register'!$J$5:$J$1004,MATCH($N$3&amp;"|"&amp;15,'Sales Register'!$H$5:$H$1004,0)),"")</f>
        <v/>
      </c>
      <c r="E28" s="54" t="str">
        <f aca="false">IFERROR(INDEX('Sales Register'!$E$5:$E$1004,MATCH($N$3&amp;"|"&amp;15,'Sales Register'!$H$5:$H$1004,0)),"")</f>
        <v/>
      </c>
      <c r="F28" s="55" t="str">
        <f aca="false">IFERROR(INDEX('Sales Register'!$K$5:$K$1004,MATCH($N$3&amp;"|"&amp;15,'Sales Register'!$H$5:$H$1004,0)),"")</f>
        <v/>
      </c>
      <c r="G28" s="56" t="str">
        <f aca="false">IFERROR(INDEX('Sales Register'!$G$5:$G$1004,MATCH($N$3&amp;"|"&amp;15,'Sales Register'!$H$5:$H$1004,0)),"")</f>
        <v/>
      </c>
      <c r="H28" s="55" t="str">
        <f aca="false">IFERROR(INDEX('Sales Register'!$L$5:$L$1004,MATCH($N$3&amp;"|"&amp;15,'Sales Register'!$H$5:$H$1004,0)),"")</f>
        <v/>
      </c>
      <c r="I28" s="56" t="str">
        <f aca="false">IFERROR(INDEX('Sales Register'!$M$5:$M$1004,MATCH($N$3&amp;"|"&amp;15,'Sales Register'!$H$5:$H$1004,0)),"")</f>
        <v/>
      </c>
      <c r="J28" s="55" t="str">
        <f aca="false">IFERROR(INDEX('Sales Register'!$P$5:$P$1004,MATCH($N$3&amp;"|"&amp;15,'Sales Register'!$H$5:$H$1004,0)),"")</f>
        <v/>
      </c>
      <c r="K28" s="55" t="str">
        <f aca="false">IFERROR(INDEX('Sales Register'!$Q$5:$Q$1004,MATCH($N$3&amp;"|"&amp;15,'Sales Register'!$H$5:$H$1004,0)),"")</f>
        <v/>
      </c>
      <c r="L28" s="55" t="str">
        <f aca="false">IFERROR(INDEX('Sales Register'!$R$5:$R$1004,MATCH($N$3&amp;"|"&amp;15,'Sales Register'!$H$5:$H$1004,0)),"")</f>
        <v/>
      </c>
    </row>
    <row r="29" customFormat="false" ht="15" hidden="false" customHeight="true" outlineLevel="0" collapsed="false">
      <c r="A29" s="57" t="s">
        <v>157</v>
      </c>
      <c r="B29" s="57"/>
      <c r="C29" s="57"/>
      <c r="D29" s="57"/>
      <c r="E29" s="57"/>
      <c r="F29" s="57"/>
      <c r="G29" s="57"/>
      <c r="H29" s="41" t="n">
        <f aca="false">SUM(H14:H28)</f>
        <v>116575</v>
      </c>
      <c r="J29" s="41" t="n">
        <f aca="false">SUM(J14:J28)</f>
        <v>20983.5</v>
      </c>
      <c r="K29" s="41" t="n">
        <f aca="false">SUM(K14:K28)</f>
        <v>0</v>
      </c>
      <c r="L29" s="41" t="n">
        <f aca="false">SUM(L14:L28)</f>
        <v>0</v>
      </c>
    </row>
    <row r="31" customFormat="false" ht="15" hidden="false" customHeight="true" outlineLevel="0" collapsed="false">
      <c r="A31" s="45" t="s">
        <v>170</v>
      </c>
      <c r="B31" s="45"/>
      <c r="C31" s="45"/>
      <c r="D31" s="45"/>
      <c r="E31" s="45"/>
      <c r="F31" s="45"/>
      <c r="G31" s="45"/>
      <c r="I31" s="47" t="s">
        <v>142</v>
      </c>
      <c r="J31" s="47"/>
      <c r="K31" s="47"/>
      <c r="L31" s="35" t="n">
        <f aca="false">H29</f>
        <v>116575</v>
      </c>
    </row>
    <row r="32" customFormat="false" ht="15" hidden="false" customHeight="true" outlineLevel="0" collapsed="false">
      <c r="A32" s="58" t="str">
        <f aca="false">IF(L34=0,"","Rupees "&amp;TRIM(IF(INT(INT(L34)/10000000)&gt;0,VLOOKUP(INT(INT(L34)/10000000),Lists!$D$4:$E$103,2,FALSE())&amp;" Crore ","")&amp;IF(INT(MOD(INT(L34),10000000)/100000)&gt;0,VLOOKUP(INT(MOD(INT(L34),10000000)/100000),Lists!$D$4:$E$103,2,FALSE())&amp;" Lakh ","")&amp;IF(INT(MOD(INT(L34),100000)/1000)&gt;0,VLOOKUP(INT(MOD(INT(L34),100000)/1000),Lists!$D$4:$E$103,2,FALSE())&amp;" Thousand ","")&amp;IF(INT(MOD(INT(L34),1000)/100)&gt;0,VLOOKUP(INT(MOD(INT(L34),1000)/100),Lists!$D$4:$E$103,2,FALSE())&amp;" Hundred ","")&amp;IF(MOD(INT(L34),100)&gt;0,IF(INT(L34)&gt;100,"and ","")&amp;VLOOKUP(MOD(INT(L34),100),Lists!$D$4:$E$103,2,FALSE()),""))&amp;" Only")</f>
        <v>Rupees One Lakh Thirty-Seven Thousand Five Hundred and Fifty-Nine Only</v>
      </c>
      <c r="B32" s="58"/>
      <c r="C32" s="58"/>
      <c r="D32" s="58"/>
      <c r="E32" s="58"/>
      <c r="F32" s="58"/>
      <c r="G32" s="58"/>
      <c r="I32" s="47" t="s">
        <v>171</v>
      </c>
      <c r="J32" s="47"/>
      <c r="K32" s="47"/>
      <c r="L32" s="35" t="n">
        <f aca="false">J29+K29+L29</f>
        <v>20983.5</v>
      </c>
    </row>
    <row r="33" customFormat="false" ht="15" hidden="false" customHeight="true" outlineLevel="0" collapsed="false">
      <c r="A33" s="58"/>
      <c r="B33" s="58"/>
      <c r="C33" s="58"/>
      <c r="D33" s="58"/>
      <c r="E33" s="58"/>
      <c r="F33" s="58"/>
      <c r="G33" s="58"/>
      <c r="I33" s="47" t="s">
        <v>172</v>
      </c>
      <c r="J33" s="47"/>
      <c r="K33" s="47"/>
      <c r="L33" s="35" t="n">
        <f aca="false">ROUND(L31+L32,0)-(L31+L32)</f>
        <v>0.5</v>
      </c>
    </row>
    <row r="34" customFormat="false" ht="15" hidden="false" customHeight="true" outlineLevel="0" collapsed="false">
      <c r="I34" s="45" t="s">
        <v>173</v>
      </c>
      <c r="J34" s="45"/>
      <c r="K34" s="45"/>
      <c r="L34" s="59" t="n">
        <f aca="false">L31+L32+L33</f>
        <v>137559</v>
      </c>
    </row>
    <row r="36" customFormat="false" ht="15" hidden="false" customHeight="true" outlineLevel="0" collapsed="false">
      <c r="A36" s="47" t="str">
        <f aca="false">"Bank: "&amp;Settings!$B$13</f>
        <v>Bank: State Bank of India · A/c 30112233445 · IFSC SBIN0001234</v>
      </c>
      <c r="B36" s="47"/>
      <c r="C36" s="47"/>
      <c r="D36" s="47"/>
      <c r="E36" s="47"/>
      <c r="F36" s="47"/>
      <c r="G36" s="47"/>
    </row>
    <row r="37" customFormat="false" ht="15" hidden="false" customHeight="true" outlineLevel="0" collapsed="false">
      <c r="A37" s="60" t="str">
        <f aca="false">"Terms: "&amp;Settings!$B$14</f>
        <v>Terms: Payment within 30 days. Interest @18% p.a. on delayed payment. Subject to Raipur jurisdiction.</v>
      </c>
      <c r="B37" s="60"/>
      <c r="C37" s="60"/>
      <c r="D37" s="60"/>
      <c r="E37" s="60"/>
      <c r="F37" s="60"/>
      <c r="G37" s="60"/>
      <c r="H37" s="57" t="str">
        <f aca="false">Settings!$B$15</f>
        <v>For Raipur Precision Components Pvt Ltd</v>
      </c>
      <c r="I37" s="57"/>
      <c r="J37" s="57"/>
      <c r="K37" s="57"/>
      <c r="L37" s="57"/>
    </row>
    <row r="38" customFormat="false" ht="15" hidden="false" customHeight="true" outlineLevel="0" collapsed="false">
      <c r="A38" s="60"/>
      <c r="B38" s="60"/>
      <c r="C38" s="60"/>
      <c r="D38" s="60"/>
      <c r="E38" s="60"/>
      <c r="F38" s="60"/>
      <c r="G38" s="60"/>
    </row>
    <row r="40" customFormat="false" ht="15" hidden="false" customHeight="true" outlineLevel="0" collapsed="false">
      <c r="I40" s="61" t="s">
        <v>174</v>
      </c>
      <c r="J40" s="61"/>
      <c r="K40" s="61"/>
      <c r="L40" s="61"/>
    </row>
    <row r="41" customFormat="false" ht="15" hidden="false" customHeight="true" outlineLevel="0" collapsed="false">
      <c r="A41" s="62" t="s">
        <v>175</v>
      </c>
      <c r="B41" s="62"/>
      <c r="C41" s="62"/>
      <c r="D41" s="62"/>
      <c r="E41" s="62"/>
      <c r="F41" s="62"/>
      <c r="G41" s="62"/>
      <c r="H41" s="62"/>
      <c r="I41" s="62"/>
      <c r="J41" s="62"/>
      <c r="K41" s="62"/>
      <c r="L41" s="62"/>
    </row>
  </sheetData>
  <mergeCells count="30">
    <mergeCell ref="A1:L1"/>
    <mergeCell ref="A2:L2"/>
    <mergeCell ref="A3:F3"/>
    <mergeCell ref="H3:I3"/>
    <mergeCell ref="J3:L3"/>
    <mergeCell ref="A4:F4"/>
    <mergeCell ref="H4:I4"/>
    <mergeCell ref="J4:L4"/>
    <mergeCell ref="A5:F5"/>
    <mergeCell ref="H5:I5"/>
    <mergeCell ref="J5:L5"/>
    <mergeCell ref="A6:F6"/>
    <mergeCell ref="H6:I6"/>
    <mergeCell ref="J6:L6"/>
    <mergeCell ref="A8:F8"/>
    <mergeCell ref="A9:F9"/>
    <mergeCell ref="A10:F10"/>
    <mergeCell ref="A11:F11"/>
    <mergeCell ref="A29:G29"/>
    <mergeCell ref="A31:G31"/>
    <mergeCell ref="I31:K31"/>
    <mergeCell ref="A32:G33"/>
    <mergeCell ref="I32:K32"/>
    <mergeCell ref="I33:K33"/>
    <mergeCell ref="I34:K34"/>
    <mergeCell ref="A36:G36"/>
    <mergeCell ref="A37:G38"/>
    <mergeCell ref="H37:L37"/>
    <mergeCell ref="I40:L40"/>
    <mergeCell ref="A41:L41"/>
  </mergeCells>
  <conditionalFormatting sqref="N14">
    <cfRule type="cellIs" priority="2" operator="equal" aboveAverage="0" equalAverage="0" bottom="0" percent="0" rank="0" text="" dxfId="1">
      <formula>"OK"</formula>
    </cfRule>
    <cfRule type="cellIs" priority="3" operator="equal" aboveAverage="0" equalAverage="0" bottom="0" percent="0" rank="0" text="" dxfId="2">
      <formula>"CHECK"</formula>
    </cfRule>
  </conditionalFormatting>
  <dataValidations count="1">
    <dataValidation allowBlank="true" errorStyle="stop" operator="between" prompt="Pick an invoice number from the register" promptTitle="Select" showDropDown="false" showErrorMessage="false" showInputMessage="true" sqref="N3" type="list">
      <formula1>'Sales Register'!$A$5:$A$1004</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G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7" min="2" style="1" width="15"/>
  </cols>
  <sheetData>
    <row r="1" customFormat="false" ht="21.75" hidden="false" customHeight="true" outlineLevel="0" collapsed="false">
      <c r="A1" s="13" t="s">
        <v>176</v>
      </c>
      <c r="G1" s="14" t="s">
        <v>58</v>
      </c>
    </row>
    <row r="3" customFormat="false" ht="15" hidden="false" customHeight="true" outlineLevel="0" collapsed="false">
      <c r="A3" s="4" t="s">
        <v>150</v>
      </c>
      <c r="B3" s="19" t="s">
        <v>177</v>
      </c>
      <c r="C3" s="3" t="s">
        <v>178</v>
      </c>
    </row>
    <row r="5" customFormat="false" ht="21.75" hidden="false" customHeight="true" outlineLevel="0" collapsed="false">
      <c r="A5" s="21"/>
      <c r="B5" s="22" t="s">
        <v>142</v>
      </c>
      <c r="C5" s="22" t="s">
        <v>145</v>
      </c>
      <c r="D5" s="22" t="s">
        <v>146</v>
      </c>
      <c r="E5" s="22" t="s">
        <v>147</v>
      </c>
      <c r="F5" s="22" t="s">
        <v>157</v>
      </c>
      <c r="G5" s="22" t="s">
        <v>179</v>
      </c>
    </row>
    <row r="6" customFormat="false" ht="15" hidden="false" customHeight="true" outlineLevel="0" collapsed="false">
      <c r="A6" s="17" t="s">
        <v>180</v>
      </c>
      <c r="B6" s="35" t="n">
        <f aca="false">SUMIFS('Sales Register'!$L$5:$L$1004,'Sales Register'!$U$5:$U$1004,"B2B",'Sales Register'!$V$5:$V$1004,$B$3)</f>
        <v>529975</v>
      </c>
      <c r="C6" s="35" t="n">
        <f aca="false">SUMIFS('Sales Register'!$P$5:$P$1004,'Sales Register'!$U$5:$U$1004,"B2B",'Sales Register'!$V$5:$V$1004,$B$3)</f>
        <v>74983.5</v>
      </c>
      <c r="D6" s="35" t="n">
        <f aca="false">SUMIFS('Sales Register'!$Q$5:$Q$1004,'Sales Register'!$U$5:$U$1004,"B2B",'Sales Register'!$V$5:$V$1004,$B$3)</f>
        <v>10206</v>
      </c>
      <c r="E6" s="35" t="n">
        <f aca="false">SUMIFS('Sales Register'!$R$5:$R$1004,'Sales Register'!$U$5:$U$1004,"B2B",'Sales Register'!$V$5:$V$1004,$B$3)</f>
        <v>10206</v>
      </c>
      <c r="F6" s="35" t="n">
        <f aca="false">SUM(B6:E6)</f>
        <v>625370.5</v>
      </c>
      <c r="G6" s="49" t="n">
        <f aca="false">SUMPRODUCT(('Sales Register'!$U$5:$U$1004="B2B")*('Sales Register'!$V$5:$V$1004=$B$3)*(RIGHT('Sales Register'!$H$5:$H$1004,2)="|1"))</f>
        <v>4</v>
      </c>
    </row>
    <row r="7" customFormat="false" ht="15" hidden="false" customHeight="true" outlineLevel="0" collapsed="false">
      <c r="A7" s="17" t="s">
        <v>181</v>
      </c>
      <c r="B7" s="35" t="n">
        <f aca="false">SUMIFS('Sales Register'!$L$5:$L$1004,'Sales Register'!$U$5:$U$1004,"B2CL",'Sales Register'!$V$5:$V$1004,$B$3)</f>
        <v>0</v>
      </c>
      <c r="C7" s="35" t="n">
        <f aca="false">SUMIFS('Sales Register'!$P$5:$P$1004,'Sales Register'!$U$5:$U$1004,"B2CL",'Sales Register'!$V$5:$V$1004,$B$3)</f>
        <v>0</v>
      </c>
      <c r="D7" s="35" t="n">
        <f aca="false">SUMIFS('Sales Register'!$Q$5:$Q$1004,'Sales Register'!$U$5:$U$1004,"B2CL",'Sales Register'!$V$5:$V$1004,$B$3)</f>
        <v>0</v>
      </c>
      <c r="E7" s="35" t="n">
        <f aca="false">SUMIFS('Sales Register'!$R$5:$R$1004,'Sales Register'!$U$5:$U$1004,"B2CL",'Sales Register'!$V$5:$V$1004,$B$3)</f>
        <v>0</v>
      </c>
      <c r="F7" s="35" t="n">
        <f aca="false">SUM(B7:E7)</f>
        <v>0</v>
      </c>
      <c r="G7" s="49" t="n">
        <f aca="false">SUMPRODUCT(('Sales Register'!$U$5:$U$1004="B2CL")*('Sales Register'!$V$5:$V$1004=$B$3)*(RIGHT('Sales Register'!$H$5:$H$1004,2)="|1"))</f>
        <v>0</v>
      </c>
    </row>
    <row r="8" customFormat="false" ht="15" hidden="false" customHeight="true" outlineLevel="0" collapsed="false">
      <c r="A8" s="17" t="s">
        <v>182</v>
      </c>
      <c r="B8" s="35" t="n">
        <f aca="false">SUMIFS('Sales Register'!$L$5:$L$1004,'Sales Register'!$U$5:$U$1004,"B2CS",'Sales Register'!$V$5:$V$1004,$B$3)</f>
        <v>83200</v>
      </c>
      <c r="C8" s="35" t="n">
        <f aca="false">SUMIFS('Sales Register'!$P$5:$P$1004,'Sales Register'!$U$5:$U$1004,"B2CS",'Sales Register'!$V$5:$V$1004,$B$3)</f>
        <v>260</v>
      </c>
      <c r="D8" s="35" t="n">
        <f aca="false">SUMIFS('Sales Register'!$Q$5:$Q$1004,'Sales Register'!$U$5:$U$1004,"B2CS",'Sales Register'!$V$5:$V$1004,$B$3)</f>
        <v>1950</v>
      </c>
      <c r="E8" s="35" t="n">
        <f aca="false">SUMIFS('Sales Register'!$R$5:$R$1004,'Sales Register'!$U$5:$U$1004,"B2CS",'Sales Register'!$V$5:$V$1004,$B$3)</f>
        <v>1950</v>
      </c>
      <c r="F8" s="35" t="n">
        <f aca="false">SUM(B8:E8)</f>
        <v>87360</v>
      </c>
      <c r="G8" s="49" t="n">
        <f aca="false">SUMPRODUCT(('Sales Register'!$U$5:$U$1004="B2CS")*('Sales Register'!$V$5:$V$1004=$B$3)*(RIGHT('Sales Register'!$H$5:$H$1004,2)="|1"))</f>
        <v>2</v>
      </c>
    </row>
    <row r="9" customFormat="false" ht="15" hidden="false" customHeight="true" outlineLevel="0" collapsed="false">
      <c r="A9" s="4" t="s">
        <v>157</v>
      </c>
      <c r="B9" s="41" t="n">
        <f aca="false">SUM(B6:B8)</f>
        <v>613175</v>
      </c>
      <c r="C9" s="41" t="n">
        <f aca="false">SUM(C6:C8)</f>
        <v>75243.5</v>
      </c>
      <c r="D9" s="41" t="n">
        <f aca="false">SUM(D6:D8)</f>
        <v>12156</v>
      </c>
      <c r="E9" s="41" t="n">
        <f aca="false">SUM(E6:E8)</f>
        <v>12156</v>
      </c>
      <c r="F9" s="41" t="n">
        <f aca="false">SUM(F6:F8)</f>
        <v>712730.5</v>
      </c>
      <c r="G9" s="63" t="n">
        <f aca="false">SUM(G6:G8)</f>
        <v>6</v>
      </c>
    </row>
    <row r="11" customFormat="false" ht="15" hidden="false" customHeight="true" outlineLevel="0" collapsed="false">
      <c r="A11" s="4" t="s">
        <v>183</v>
      </c>
      <c r="B11" s="64" t="n">
        <f aca="false">IFERROR(DATE(YEAR(DATEVALUE("1-"&amp;$B$3)),MONTH(DATEVALUE("1-"&amp;$B$3))+1,11),"")</f>
        <v>46306</v>
      </c>
      <c r="C11" s="3" t="s">
        <v>184</v>
      </c>
    </row>
    <row r="13" customFormat="false" ht="15" hidden="false" customHeight="true" outlineLevel="0" collapsed="false">
      <c r="A13" s="3" t="s">
        <v>185</v>
      </c>
      <c r="F13" s="49" t="n">
        <f aca="false">COUNTIF('Sales Register'!$N$5:$N$1004,"?")</f>
        <v>0</v>
      </c>
    </row>
    <row r="14" customFormat="false" ht="15" hidden="false" customHeight="true" outlineLevel="0" collapsed="false">
      <c r="A14" s="3" t="s">
        <v>186</v>
      </c>
      <c r="F14" s="49" t="n">
        <f aca="false">SUMPRODUCT(--(LEN('Sales Register'!$A$5:$A$1004)&gt;16))</f>
        <v>0</v>
      </c>
    </row>
  </sheetData>
  <conditionalFormatting sqref="F13">
    <cfRule type="expression" priority="2" aboveAverage="0" equalAverage="0" bottom="0" percent="0" rank="0" text="" dxfId="0">
      <formula>ROUND(F13,2)&lt;&gt;0</formula>
    </cfRule>
  </conditionalFormatting>
  <conditionalFormatting sqref="F14">
    <cfRule type="expression" priority="3" aboveAverage="0" equalAverage="0" bottom="0" percent="0" rank="0" text="" dxfId="0">
      <formula>ROUND(F14,2)&lt;&gt;0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6A6A6"/>
    <pageSetUpPr fitToPage="true"/>
  </sheetPr>
  <dimension ref="A1:E1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40"/>
    <col collapsed="false" customWidth="true" hidden="false" outlineLevel="0" max="3" min="3" style="1" width="3"/>
    <col collapsed="false" customWidth="true" hidden="false" outlineLevel="0" max="4" min="4" style="1" width="8"/>
    <col collapsed="false" customWidth="true" hidden="false" outlineLevel="0" max="5" min="5" style="1" width="30"/>
  </cols>
  <sheetData>
    <row r="1" customFormat="false" ht="21.75" hidden="false" customHeight="true" outlineLevel="0" collapsed="false">
      <c r="A1" s="13" t="s">
        <v>187</v>
      </c>
      <c r="E1" s="14" t="s">
        <v>58</v>
      </c>
    </row>
    <row r="2" customFormat="false" ht="15" hidden="false" customHeight="true" outlineLevel="0" collapsed="false">
      <c r="A2" s="3" t="s">
        <v>188</v>
      </c>
    </row>
    <row r="3" customFormat="false" ht="19.5" hidden="false" customHeight="true" outlineLevel="0" collapsed="false">
      <c r="A3" s="21" t="s">
        <v>189</v>
      </c>
      <c r="B3" s="22" t="s">
        <v>190</v>
      </c>
      <c r="C3" s="22"/>
      <c r="D3" s="22" t="s">
        <v>191</v>
      </c>
      <c r="E3" s="22" t="s">
        <v>192</v>
      </c>
    </row>
    <row r="4" customFormat="false" ht="15" hidden="false" customHeight="true" outlineLevel="0" collapsed="false">
      <c r="A4" s="65" t="s">
        <v>193</v>
      </c>
      <c r="B4" s="1" t="s">
        <v>194</v>
      </c>
      <c r="D4" s="1" t="n">
        <v>0</v>
      </c>
    </row>
    <row r="5" customFormat="false" ht="15" hidden="false" customHeight="true" outlineLevel="0" collapsed="false">
      <c r="A5" s="65" t="s">
        <v>195</v>
      </c>
      <c r="B5" s="1" t="s">
        <v>196</v>
      </c>
      <c r="D5" s="1" t="n">
        <v>1</v>
      </c>
      <c r="E5" s="1" t="s">
        <v>197</v>
      </c>
    </row>
    <row r="6" customFormat="false" ht="15" hidden="false" customHeight="true" outlineLevel="0" collapsed="false">
      <c r="A6" s="65" t="s">
        <v>198</v>
      </c>
      <c r="B6" s="1" t="s">
        <v>199</v>
      </c>
      <c r="D6" s="1" t="n">
        <v>2</v>
      </c>
      <c r="E6" s="1" t="s">
        <v>200</v>
      </c>
    </row>
    <row r="7" customFormat="false" ht="15" hidden="false" customHeight="true" outlineLevel="0" collapsed="false">
      <c r="A7" s="65" t="s">
        <v>201</v>
      </c>
      <c r="B7" s="1" t="s">
        <v>202</v>
      </c>
      <c r="D7" s="1" t="n">
        <v>3</v>
      </c>
      <c r="E7" s="1" t="s">
        <v>203</v>
      </c>
    </row>
    <row r="8" customFormat="false" ht="15" hidden="false" customHeight="true" outlineLevel="0" collapsed="false">
      <c r="A8" s="65" t="s">
        <v>204</v>
      </c>
      <c r="B8" s="1" t="s">
        <v>205</v>
      </c>
      <c r="D8" s="1" t="n">
        <v>4</v>
      </c>
      <c r="E8" s="1" t="s">
        <v>206</v>
      </c>
    </row>
    <row r="9" customFormat="false" ht="15" hidden="false" customHeight="true" outlineLevel="0" collapsed="false">
      <c r="A9" s="65" t="s">
        <v>207</v>
      </c>
      <c r="B9" s="1" t="s">
        <v>208</v>
      </c>
      <c r="D9" s="1" t="n">
        <v>5</v>
      </c>
      <c r="E9" s="1" t="s">
        <v>209</v>
      </c>
    </row>
    <row r="10" customFormat="false" ht="15" hidden="false" customHeight="true" outlineLevel="0" collapsed="false">
      <c r="A10" s="65" t="s">
        <v>210</v>
      </c>
      <c r="B10" s="1" t="s">
        <v>211</v>
      </c>
      <c r="D10" s="1" t="n">
        <v>6</v>
      </c>
      <c r="E10" s="1" t="s">
        <v>212</v>
      </c>
    </row>
    <row r="11" customFormat="false" ht="15" hidden="false" customHeight="true" outlineLevel="0" collapsed="false">
      <c r="A11" s="65" t="s">
        <v>213</v>
      </c>
      <c r="B11" s="1" t="s">
        <v>214</v>
      </c>
      <c r="D11" s="1" t="n">
        <v>7</v>
      </c>
      <c r="E11" s="1" t="s">
        <v>215</v>
      </c>
    </row>
    <row r="12" customFormat="false" ht="15" hidden="false" customHeight="true" outlineLevel="0" collapsed="false">
      <c r="A12" s="65" t="s">
        <v>216</v>
      </c>
      <c r="B12" s="1" t="s">
        <v>217</v>
      </c>
      <c r="D12" s="1" t="n">
        <v>8</v>
      </c>
      <c r="E12" s="1" t="s">
        <v>218</v>
      </c>
    </row>
    <row r="13" customFormat="false" ht="15" hidden="false" customHeight="true" outlineLevel="0" collapsed="false">
      <c r="A13" s="65" t="s">
        <v>219</v>
      </c>
      <c r="B13" s="1" t="s">
        <v>220</v>
      </c>
      <c r="D13" s="1" t="n">
        <v>9</v>
      </c>
      <c r="E13" s="1" t="s">
        <v>221</v>
      </c>
    </row>
    <row r="14" customFormat="false" ht="15" hidden="false" customHeight="true" outlineLevel="0" collapsed="false">
      <c r="A14" s="65" t="s">
        <v>222</v>
      </c>
      <c r="B14" s="1" t="s">
        <v>223</v>
      </c>
      <c r="D14" s="1" t="n">
        <v>10</v>
      </c>
      <c r="E14" s="1" t="s">
        <v>224</v>
      </c>
    </row>
    <row r="15" customFormat="false" ht="15" hidden="false" customHeight="true" outlineLevel="0" collapsed="false">
      <c r="A15" s="65" t="s">
        <v>225</v>
      </c>
      <c r="B15" s="1" t="s">
        <v>226</v>
      </c>
      <c r="D15" s="1" t="n">
        <v>11</v>
      </c>
      <c r="E15" s="1" t="s">
        <v>227</v>
      </c>
    </row>
    <row r="16" customFormat="false" ht="15" hidden="false" customHeight="true" outlineLevel="0" collapsed="false">
      <c r="A16" s="65" t="s">
        <v>228</v>
      </c>
      <c r="B16" s="1" t="s">
        <v>229</v>
      </c>
      <c r="D16" s="1" t="n">
        <v>12</v>
      </c>
      <c r="E16" s="1" t="s">
        <v>230</v>
      </c>
    </row>
    <row r="17" customFormat="false" ht="15" hidden="false" customHeight="true" outlineLevel="0" collapsed="false">
      <c r="A17" s="65" t="s">
        <v>231</v>
      </c>
      <c r="B17" s="1" t="s">
        <v>232</v>
      </c>
      <c r="D17" s="1" t="n">
        <v>13</v>
      </c>
      <c r="E17" s="1" t="s">
        <v>233</v>
      </c>
    </row>
    <row r="18" customFormat="false" ht="15" hidden="false" customHeight="true" outlineLevel="0" collapsed="false">
      <c r="A18" s="65" t="s">
        <v>234</v>
      </c>
      <c r="B18" s="1" t="s">
        <v>235</v>
      </c>
      <c r="D18" s="1" t="n">
        <v>14</v>
      </c>
      <c r="E18" s="1" t="s">
        <v>236</v>
      </c>
    </row>
    <row r="19" customFormat="false" ht="15" hidden="false" customHeight="true" outlineLevel="0" collapsed="false">
      <c r="A19" s="65" t="s">
        <v>237</v>
      </c>
      <c r="B19" s="1" t="s">
        <v>238</v>
      </c>
      <c r="D19" s="1" t="n">
        <v>15</v>
      </c>
      <c r="E19" s="1" t="s">
        <v>239</v>
      </c>
    </row>
    <row r="20" customFormat="false" ht="15" hidden="false" customHeight="true" outlineLevel="0" collapsed="false">
      <c r="A20" s="65" t="s">
        <v>240</v>
      </c>
      <c r="B20" s="1" t="s">
        <v>241</v>
      </c>
      <c r="D20" s="1" t="n">
        <v>16</v>
      </c>
      <c r="E20" s="1" t="s">
        <v>242</v>
      </c>
    </row>
    <row r="21" customFormat="false" ht="15" hidden="false" customHeight="true" outlineLevel="0" collapsed="false">
      <c r="A21" s="65" t="s">
        <v>243</v>
      </c>
      <c r="B21" s="1" t="s">
        <v>244</v>
      </c>
      <c r="D21" s="1" t="n">
        <v>17</v>
      </c>
      <c r="E21" s="1" t="s">
        <v>245</v>
      </c>
    </row>
    <row r="22" customFormat="false" ht="15" hidden="false" customHeight="true" outlineLevel="0" collapsed="false">
      <c r="A22" s="65" t="s">
        <v>246</v>
      </c>
      <c r="B22" s="1" t="s">
        <v>247</v>
      </c>
      <c r="D22" s="1" t="n">
        <v>18</v>
      </c>
      <c r="E22" s="1" t="s">
        <v>248</v>
      </c>
    </row>
    <row r="23" customFormat="false" ht="15" hidden="false" customHeight="true" outlineLevel="0" collapsed="false">
      <c r="A23" s="65" t="s">
        <v>249</v>
      </c>
      <c r="B23" s="1" t="s">
        <v>250</v>
      </c>
      <c r="D23" s="1" t="n">
        <v>19</v>
      </c>
      <c r="E23" s="1" t="s">
        <v>251</v>
      </c>
    </row>
    <row r="24" customFormat="false" ht="15" hidden="false" customHeight="true" outlineLevel="0" collapsed="false">
      <c r="A24" s="65" t="s">
        <v>252</v>
      </c>
      <c r="B24" s="1" t="s">
        <v>253</v>
      </c>
      <c r="D24" s="1" t="n">
        <v>20</v>
      </c>
      <c r="E24" s="1" t="s">
        <v>254</v>
      </c>
    </row>
    <row r="25" customFormat="false" ht="15" hidden="false" customHeight="true" outlineLevel="0" collapsed="false">
      <c r="A25" s="65" t="s">
        <v>255</v>
      </c>
      <c r="B25" s="1" t="s">
        <v>105</v>
      </c>
      <c r="D25" s="1" t="n">
        <v>21</v>
      </c>
      <c r="E25" s="1" t="s">
        <v>256</v>
      </c>
    </row>
    <row r="26" customFormat="false" ht="15" hidden="false" customHeight="true" outlineLevel="0" collapsed="false">
      <c r="A26" s="65" t="s">
        <v>257</v>
      </c>
      <c r="B26" s="1" t="s">
        <v>108</v>
      </c>
      <c r="D26" s="1" t="n">
        <v>22</v>
      </c>
      <c r="E26" s="1" t="s">
        <v>258</v>
      </c>
    </row>
    <row r="27" customFormat="false" ht="15" hidden="false" customHeight="true" outlineLevel="0" collapsed="false">
      <c r="A27" s="65" t="s">
        <v>259</v>
      </c>
      <c r="B27" s="1" t="s">
        <v>260</v>
      </c>
      <c r="D27" s="1" t="n">
        <v>23</v>
      </c>
      <c r="E27" s="1" t="s">
        <v>261</v>
      </c>
    </row>
    <row r="28" customFormat="false" ht="15" hidden="false" customHeight="true" outlineLevel="0" collapsed="false">
      <c r="A28" s="65" t="s">
        <v>262</v>
      </c>
      <c r="B28" s="1" t="s">
        <v>263</v>
      </c>
      <c r="D28" s="1" t="n">
        <v>24</v>
      </c>
      <c r="E28" s="1" t="s">
        <v>264</v>
      </c>
    </row>
    <row r="29" customFormat="false" ht="15" hidden="false" customHeight="true" outlineLevel="0" collapsed="false">
      <c r="A29" s="65" t="s">
        <v>265</v>
      </c>
      <c r="B29" s="1" t="s">
        <v>266</v>
      </c>
      <c r="D29" s="1" t="n">
        <v>25</v>
      </c>
      <c r="E29" s="1" t="s">
        <v>267</v>
      </c>
    </row>
    <row r="30" customFormat="false" ht="15" hidden="false" customHeight="true" outlineLevel="0" collapsed="false">
      <c r="A30" s="65" t="s">
        <v>268</v>
      </c>
      <c r="B30" s="1" t="s">
        <v>269</v>
      </c>
      <c r="D30" s="1" t="n">
        <v>26</v>
      </c>
      <c r="E30" s="1" t="s">
        <v>270</v>
      </c>
    </row>
    <row r="31" customFormat="false" ht="15" hidden="false" customHeight="true" outlineLevel="0" collapsed="false">
      <c r="A31" s="65" t="s">
        <v>271</v>
      </c>
      <c r="B31" s="1" t="s">
        <v>272</v>
      </c>
      <c r="D31" s="1" t="n">
        <v>27</v>
      </c>
      <c r="E31" s="1" t="s">
        <v>273</v>
      </c>
    </row>
    <row r="32" customFormat="false" ht="15" hidden="false" customHeight="true" outlineLevel="0" collapsed="false">
      <c r="A32" s="65" t="s">
        <v>274</v>
      </c>
      <c r="B32" s="1" t="s">
        <v>275</v>
      </c>
      <c r="D32" s="1" t="n">
        <v>28</v>
      </c>
      <c r="E32" s="1" t="s">
        <v>276</v>
      </c>
    </row>
    <row r="33" customFormat="false" ht="15" hidden="false" customHeight="true" outlineLevel="0" collapsed="false">
      <c r="A33" s="65" t="s">
        <v>277</v>
      </c>
      <c r="B33" s="1" t="s">
        <v>278</v>
      </c>
      <c r="D33" s="1" t="n">
        <v>29</v>
      </c>
      <c r="E33" s="1" t="s">
        <v>279</v>
      </c>
    </row>
    <row r="34" customFormat="false" ht="15" hidden="false" customHeight="true" outlineLevel="0" collapsed="false">
      <c r="A34" s="65" t="s">
        <v>280</v>
      </c>
      <c r="B34" s="1" t="s">
        <v>281</v>
      </c>
      <c r="D34" s="1" t="n">
        <v>30</v>
      </c>
      <c r="E34" s="1" t="s">
        <v>282</v>
      </c>
    </row>
    <row r="35" customFormat="false" ht="15" hidden="false" customHeight="true" outlineLevel="0" collapsed="false">
      <c r="A35" s="65" t="s">
        <v>283</v>
      </c>
      <c r="B35" s="1" t="s">
        <v>284</v>
      </c>
      <c r="D35" s="1" t="n">
        <v>31</v>
      </c>
      <c r="E35" s="1" t="s">
        <v>285</v>
      </c>
    </row>
    <row r="36" customFormat="false" ht="15" hidden="false" customHeight="true" outlineLevel="0" collapsed="false">
      <c r="A36" s="65" t="s">
        <v>286</v>
      </c>
      <c r="B36" s="1" t="s">
        <v>287</v>
      </c>
      <c r="D36" s="1" t="n">
        <v>32</v>
      </c>
      <c r="E36" s="1" t="s">
        <v>288</v>
      </c>
    </row>
    <row r="37" customFormat="false" ht="15" hidden="false" customHeight="true" outlineLevel="0" collapsed="false">
      <c r="A37" s="65" t="s">
        <v>289</v>
      </c>
      <c r="B37" s="1" t="s">
        <v>290</v>
      </c>
      <c r="D37" s="1" t="n">
        <v>33</v>
      </c>
      <c r="E37" s="1" t="s">
        <v>291</v>
      </c>
    </row>
    <row r="38" customFormat="false" ht="15" hidden="false" customHeight="true" outlineLevel="0" collapsed="false">
      <c r="A38" s="65" t="s">
        <v>292</v>
      </c>
      <c r="B38" s="1" t="s">
        <v>293</v>
      </c>
      <c r="D38" s="1" t="n">
        <v>34</v>
      </c>
      <c r="E38" s="1" t="s">
        <v>294</v>
      </c>
    </row>
    <row r="39" customFormat="false" ht="15" hidden="false" customHeight="true" outlineLevel="0" collapsed="false">
      <c r="A39" s="65" t="s">
        <v>295</v>
      </c>
      <c r="B39" s="1" t="s">
        <v>296</v>
      </c>
      <c r="D39" s="1" t="n">
        <v>35</v>
      </c>
      <c r="E39" s="1" t="s">
        <v>297</v>
      </c>
    </row>
    <row r="40" customFormat="false" ht="15" hidden="false" customHeight="true" outlineLevel="0" collapsed="false">
      <c r="A40" s="65" t="s">
        <v>298</v>
      </c>
      <c r="B40" s="1" t="s">
        <v>299</v>
      </c>
      <c r="D40" s="1" t="n">
        <v>36</v>
      </c>
      <c r="E40" s="1" t="s">
        <v>300</v>
      </c>
    </row>
    <row r="41" customFormat="false" ht="15" hidden="false" customHeight="true" outlineLevel="0" collapsed="false">
      <c r="D41" s="1" t="n">
        <v>37</v>
      </c>
      <c r="E41" s="1" t="s">
        <v>301</v>
      </c>
    </row>
    <row r="42" customFormat="false" ht="15" hidden="false" customHeight="true" outlineLevel="0" collapsed="false">
      <c r="D42" s="1" t="n">
        <v>38</v>
      </c>
      <c r="E42" s="1" t="s">
        <v>302</v>
      </c>
    </row>
    <row r="43" customFormat="false" ht="15" hidden="false" customHeight="true" outlineLevel="0" collapsed="false">
      <c r="D43" s="1" t="n">
        <v>39</v>
      </c>
      <c r="E43" s="1" t="s">
        <v>303</v>
      </c>
    </row>
    <row r="44" customFormat="false" ht="15" hidden="false" customHeight="true" outlineLevel="0" collapsed="false">
      <c r="D44" s="1" t="n">
        <v>40</v>
      </c>
      <c r="E44" s="1" t="s">
        <v>304</v>
      </c>
    </row>
    <row r="45" customFormat="false" ht="15" hidden="false" customHeight="true" outlineLevel="0" collapsed="false">
      <c r="D45" s="1" t="n">
        <v>41</v>
      </c>
      <c r="E45" s="1" t="s">
        <v>305</v>
      </c>
    </row>
    <row r="46" customFormat="false" ht="15" hidden="false" customHeight="true" outlineLevel="0" collapsed="false">
      <c r="D46" s="1" t="n">
        <v>42</v>
      </c>
      <c r="E46" s="1" t="s">
        <v>306</v>
      </c>
    </row>
    <row r="47" customFormat="false" ht="15" hidden="false" customHeight="true" outlineLevel="0" collapsed="false">
      <c r="D47" s="1" t="n">
        <v>43</v>
      </c>
      <c r="E47" s="1" t="s">
        <v>307</v>
      </c>
    </row>
    <row r="48" customFormat="false" ht="15" hidden="false" customHeight="true" outlineLevel="0" collapsed="false">
      <c r="D48" s="1" t="n">
        <v>44</v>
      </c>
      <c r="E48" s="1" t="s">
        <v>308</v>
      </c>
    </row>
    <row r="49" customFormat="false" ht="15" hidden="false" customHeight="true" outlineLevel="0" collapsed="false">
      <c r="D49" s="1" t="n">
        <v>45</v>
      </c>
      <c r="E49" s="1" t="s">
        <v>309</v>
      </c>
    </row>
    <row r="50" customFormat="false" ht="15" hidden="false" customHeight="true" outlineLevel="0" collapsed="false">
      <c r="D50" s="1" t="n">
        <v>46</v>
      </c>
      <c r="E50" s="1" t="s">
        <v>310</v>
      </c>
    </row>
    <row r="51" customFormat="false" ht="15" hidden="false" customHeight="true" outlineLevel="0" collapsed="false">
      <c r="D51" s="1" t="n">
        <v>47</v>
      </c>
      <c r="E51" s="1" t="s">
        <v>311</v>
      </c>
    </row>
    <row r="52" customFormat="false" ht="15" hidden="false" customHeight="true" outlineLevel="0" collapsed="false">
      <c r="D52" s="1" t="n">
        <v>48</v>
      </c>
      <c r="E52" s="1" t="s">
        <v>312</v>
      </c>
    </row>
    <row r="53" customFormat="false" ht="15" hidden="false" customHeight="true" outlineLevel="0" collapsed="false">
      <c r="D53" s="1" t="n">
        <v>49</v>
      </c>
      <c r="E53" s="1" t="s">
        <v>313</v>
      </c>
    </row>
    <row r="54" customFormat="false" ht="15" hidden="false" customHeight="true" outlineLevel="0" collapsed="false">
      <c r="D54" s="1" t="n">
        <v>50</v>
      </c>
      <c r="E54" s="1" t="s">
        <v>314</v>
      </c>
    </row>
    <row r="55" customFormat="false" ht="15" hidden="false" customHeight="true" outlineLevel="0" collapsed="false">
      <c r="D55" s="1" t="n">
        <v>51</v>
      </c>
      <c r="E55" s="1" t="s">
        <v>315</v>
      </c>
    </row>
    <row r="56" customFormat="false" ht="15" hidden="false" customHeight="true" outlineLevel="0" collapsed="false">
      <c r="D56" s="1" t="n">
        <v>52</v>
      </c>
      <c r="E56" s="1" t="s">
        <v>316</v>
      </c>
    </row>
    <row r="57" customFormat="false" ht="15" hidden="false" customHeight="true" outlineLevel="0" collapsed="false">
      <c r="D57" s="1" t="n">
        <v>53</v>
      </c>
      <c r="E57" s="1" t="s">
        <v>317</v>
      </c>
    </row>
    <row r="58" customFormat="false" ht="15" hidden="false" customHeight="true" outlineLevel="0" collapsed="false">
      <c r="D58" s="1" t="n">
        <v>54</v>
      </c>
      <c r="E58" s="1" t="s">
        <v>318</v>
      </c>
    </row>
    <row r="59" customFormat="false" ht="15" hidden="false" customHeight="true" outlineLevel="0" collapsed="false">
      <c r="D59" s="1" t="n">
        <v>55</v>
      </c>
      <c r="E59" s="1" t="s">
        <v>319</v>
      </c>
    </row>
    <row r="60" customFormat="false" ht="15" hidden="false" customHeight="true" outlineLevel="0" collapsed="false">
      <c r="D60" s="1" t="n">
        <v>56</v>
      </c>
      <c r="E60" s="1" t="s">
        <v>320</v>
      </c>
    </row>
    <row r="61" customFormat="false" ht="15" hidden="false" customHeight="true" outlineLevel="0" collapsed="false">
      <c r="D61" s="1" t="n">
        <v>57</v>
      </c>
      <c r="E61" s="1" t="s">
        <v>321</v>
      </c>
    </row>
    <row r="62" customFormat="false" ht="15" hidden="false" customHeight="true" outlineLevel="0" collapsed="false">
      <c r="D62" s="1" t="n">
        <v>58</v>
      </c>
      <c r="E62" s="1" t="s">
        <v>322</v>
      </c>
    </row>
    <row r="63" customFormat="false" ht="15" hidden="false" customHeight="true" outlineLevel="0" collapsed="false">
      <c r="D63" s="1" t="n">
        <v>59</v>
      </c>
      <c r="E63" s="1" t="s">
        <v>323</v>
      </c>
    </row>
    <row r="64" customFormat="false" ht="15" hidden="false" customHeight="true" outlineLevel="0" collapsed="false">
      <c r="D64" s="1" t="n">
        <v>60</v>
      </c>
      <c r="E64" s="1" t="s">
        <v>324</v>
      </c>
    </row>
    <row r="65" customFormat="false" ht="15" hidden="false" customHeight="true" outlineLevel="0" collapsed="false">
      <c r="D65" s="1" t="n">
        <v>61</v>
      </c>
      <c r="E65" s="1" t="s">
        <v>325</v>
      </c>
    </row>
    <row r="66" customFormat="false" ht="15" hidden="false" customHeight="true" outlineLevel="0" collapsed="false">
      <c r="D66" s="1" t="n">
        <v>62</v>
      </c>
      <c r="E66" s="1" t="s">
        <v>326</v>
      </c>
    </row>
    <row r="67" customFormat="false" ht="15" hidden="false" customHeight="true" outlineLevel="0" collapsed="false">
      <c r="D67" s="1" t="n">
        <v>63</v>
      </c>
      <c r="E67" s="1" t="s">
        <v>327</v>
      </c>
    </row>
    <row r="68" customFormat="false" ht="15" hidden="false" customHeight="true" outlineLevel="0" collapsed="false">
      <c r="D68" s="1" t="n">
        <v>64</v>
      </c>
      <c r="E68" s="1" t="s">
        <v>328</v>
      </c>
    </row>
    <row r="69" customFormat="false" ht="15" hidden="false" customHeight="true" outlineLevel="0" collapsed="false">
      <c r="D69" s="1" t="n">
        <v>65</v>
      </c>
      <c r="E69" s="1" t="s">
        <v>329</v>
      </c>
    </row>
    <row r="70" customFormat="false" ht="15" hidden="false" customHeight="true" outlineLevel="0" collapsed="false">
      <c r="D70" s="1" t="n">
        <v>66</v>
      </c>
      <c r="E70" s="1" t="s">
        <v>330</v>
      </c>
    </row>
    <row r="71" customFormat="false" ht="15" hidden="false" customHeight="true" outlineLevel="0" collapsed="false">
      <c r="D71" s="1" t="n">
        <v>67</v>
      </c>
      <c r="E71" s="1" t="s">
        <v>331</v>
      </c>
    </row>
    <row r="72" customFormat="false" ht="15" hidden="false" customHeight="true" outlineLevel="0" collapsed="false">
      <c r="D72" s="1" t="n">
        <v>68</v>
      </c>
      <c r="E72" s="1" t="s">
        <v>332</v>
      </c>
    </row>
    <row r="73" customFormat="false" ht="15" hidden="false" customHeight="true" outlineLevel="0" collapsed="false">
      <c r="D73" s="1" t="n">
        <v>69</v>
      </c>
      <c r="E73" s="1" t="s">
        <v>333</v>
      </c>
    </row>
    <row r="74" customFormat="false" ht="15" hidden="false" customHeight="true" outlineLevel="0" collapsed="false">
      <c r="D74" s="1" t="n">
        <v>70</v>
      </c>
      <c r="E74" s="1" t="s">
        <v>334</v>
      </c>
    </row>
    <row r="75" customFormat="false" ht="15" hidden="false" customHeight="true" outlineLevel="0" collapsed="false">
      <c r="D75" s="1" t="n">
        <v>71</v>
      </c>
      <c r="E75" s="1" t="s">
        <v>335</v>
      </c>
    </row>
    <row r="76" customFormat="false" ht="15" hidden="false" customHeight="true" outlineLevel="0" collapsed="false">
      <c r="D76" s="1" t="n">
        <v>72</v>
      </c>
      <c r="E76" s="1" t="s">
        <v>336</v>
      </c>
    </row>
    <row r="77" customFormat="false" ht="15" hidden="false" customHeight="true" outlineLevel="0" collapsed="false">
      <c r="D77" s="1" t="n">
        <v>73</v>
      </c>
      <c r="E77" s="1" t="s">
        <v>337</v>
      </c>
    </row>
    <row r="78" customFormat="false" ht="15" hidden="false" customHeight="true" outlineLevel="0" collapsed="false">
      <c r="D78" s="1" t="n">
        <v>74</v>
      </c>
      <c r="E78" s="1" t="s">
        <v>338</v>
      </c>
    </row>
    <row r="79" customFormat="false" ht="15" hidden="false" customHeight="true" outlineLevel="0" collapsed="false">
      <c r="D79" s="1" t="n">
        <v>75</v>
      </c>
      <c r="E79" s="1" t="s">
        <v>339</v>
      </c>
    </row>
    <row r="80" customFormat="false" ht="15" hidden="false" customHeight="true" outlineLevel="0" collapsed="false">
      <c r="D80" s="1" t="n">
        <v>76</v>
      </c>
      <c r="E80" s="1" t="s">
        <v>340</v>
      </c>
    </row>
    <row r="81" customFormat="false" ht="15" hidden="false" customHeight="true" outlineLevel="0" collapsed="false">
      <c r="D81" s="1" t="n">
        <v>77</v>
      </c>
      <c r="E81" s="1" t="s">
        <v>341</v>
      </c>
    </row>
    <row r="82" customFormat="false" ht="15" hidden="false" customHeight="true" outlineLevel="0" collapsed="false">
      <c r="D82" s="1" t="n">
        <v>78</v>
      </c>
      <c r="E82" s="1" t="s">
        <v>342</v>
      </c>
    </row>
    <row r="83" customFormat="false" ht="15" hidden="false" customHeight="true" outlineLevel="0" collapsed="false">
      <c r="D83" s="1" t="n">
        <v>79</v>
      </c>
      <c r="E83" s="1" t="s">
        <v>343</v>
      </c>
    </row>
    <row r="84" customFormat="false" ht="15" hidden="false" customHeight="true" outlineLevel="0" collapsed="false">
      <c r="D84" s="1" t="n">
        <v>80</v>
      </c>
      <c r="E84" s="1" t="s">
        <v>344</v>
      </c>
    </row>
    <row r="85" customFormat="false" ht="15" hidden="false" customHeight="true" outlineLevel="0" collapsed="false">
      <c r="D85" s="1" t="n">
        <v>81</v>
      </c>
      <c r="E85" s="1" t="s">
        <v>345</v>
      </c>
    </row>
    <row r="86" customFormat="false" ht="15" hidden="false" customHeight="true" outlineLevel="0" collapsed="false">
      <c r="D86" s="1" t="n">
        <v>82</v>
      </c>
      <c r="E86" s="1" t="s">
        <v>346</v>
      </c>
    </row>
    <row r="87" customFormat="false" ht="15" hidden="false" customHeight="true" outlineLevel="0" collapsed="false">
      <c r="D87" s="1" t="n">
        <v>83</v>
      </c>
      <c r="E87" s="1" t="s">
        <v>347</v>
      </c>
    </row>
    <row r="88" customFormat="false" ht="15" hidden="false" customHeight="true" outlineLevel="0" collapsed="false">
      <c r="D88" s="1" t="n">
        <v>84</v>
      </c>
      <c r="E88" s="1" t="s">
        <v>348</v>
      </c>
    </row>
    <row r="89" customFormat="false" ht="15" hidden="false" customHeight="true" outlineLevel="0" collapsed="false">
      <c r="D89" s="1" t="n">
        <v>85</v>
      </c>
      <c r="E89" s="1" t="s">
        <v>349</v>
      </c>
    </row>
    <row r="90" customFormat="false" ht="15" hidden="false" customHeight="true" outlineLevel="0" collapsed="false">
      <c r="D90" s="1" t="n">
        <v>86</v>
      </c>
      <c r="E90" s="1" t="s">
        <v>350</v>
      </c>
    </row>
    <row r="91" customFormat="false" ht="15" hidden="false" customHeight="true" outlineLevel="0" collapsed="false">
      <c r="D91" s="1" t="n">
        <v>87</v>
      </c>
      <c r="E91" s="1" t="s">
        <v>351</v>
      </c>
    </row>
    <row r="92" customFormat="false" ht="15" hidden="false" customHeight="true" outlineLevel="0" collapsed="false">
      <c r="D92" s="1" t="n">
        <v>88</v>
      </c>
      <c r="E92" s="1" t="s">
        <v>352</v>
      </c>
    </row>
    <row r="93" customFormat="false" ht="15" hidden="false" customHeight="true" outlineLevel="0" collapsed="false">
      <c r="D93" s="1" t="n">
        <v>89</v>
      </c>
      <c r="E93" s="1" t="s">
        <v>353</v>
      </c>
    </row>
    <row r="94" customFormat="false" ht="15" hidden="false" customHeight="true" outlineLevel="0" collapsed="false">
      <c r="D94" s="1" t="n">
        <v>90</v>
      </c>
      <c r="E94" s="1" t="s">
        <v>354</v>
      </c>
    </row>
    <row r="95" customFormat="false" ht="15" hidden="false" customHeight="true" outlineLevel="0" collapsed="false">
      <c r="D95" s="1" t="n">
        <v>91</v>
      </c>
      <c r="E95" s="1" t="s">
        <v>355</v>
      </c>
    </row>
    <row r="96" customFormat="false" ht="15" hidden="false" customHeight="true" outlineLevel="0" collapsed="false">
      <c r="D96" s="1" t="n">
        <v>92</v>
      </c>
      <c r="E96" s="1" t="s">
        <v>356</v>
      </c>
    </row>
    <row r="97" customFormat="false" ht="15" hidden="false" customHeight="true" outlineLevel="0" collapsed="false">
      <c r="D97" s="1" t="n">
        <v>93</v>
      </c>
      <c r="E97" s="1" t="s">
        <v>357</v>
      </c>
    </row>
    <row r="98" customFormat="false" ht="15" hidden="false" customHeight="true" outlineLevel="0" collapsed="false">
      <c r="D98" s="1" t="n">
        <v>94</v>
      </c>
      <c r="E98" s="1" t="s">
        <v>358</v>
      </c>
    </row>
    <row r="99" customFormat="false" ht="15" hidden="false" customHeight="true" outlineLevel="0" collapsed="false">
      <c r="D99" s="1" t="n">
        <v>95</v>
      </c>
      <c r="E99" s="1" t="s">
        <v>359</v>
      </c>
    </row>
    <row r="100" customFormat="false" ht="15" hidden="false" customHeight="true" outlineLevel="0" collapsed="false">
      <c r="D100" s="1" t="n">
        <v>96</v>
      </c>
      <c r="E100" s="1" t="s">
        <v>360</v>
      </c>
    </row>
    <row r="101" customFormat="false" ht="15" hidden="false" customHeight="true" outlineLevel="0" collapsed="false">
      <c r="D101" s="1" t="n">
        <v>97</v>
      </c>
      <c r="E101" s="1" t="s">
        <v>361</v>
      </c>
    </row>
    <row r="102" customFormat="false" ht="15" hidden="false" customHeight="true" outlineLevel="0" collapsed="false">
      <c r="D102" s="1" t="n">
        <v>98</v>
      </c>
      <c r="E102" s="1" t="s">
        <v>362</v>
      </c>
    </row>
    <row r="103" customFormat="false" ht="15" hidden="false" customHeight="true" outlineLevel="0" collapsed="false">
      <c r="D103" s="1" t="n">
        <v>99</v>
      </c>
      <c r="E103" s="1" t="s">
        <v>363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66" t="s">
        <v>364</v>
      </c>
    </row>
    <row r="4" customFormat="false" ht="15" hidden="false" customHeight="false" outlineLevel="0" collapsed="false">
      <c r="B4" s="67" t="s">
        <v>365</v>
      </c>
    </row>
    <row r="5" customFormat="false" ht="23.85" hidden="false" customHeight="false" outlineLevel="0" collapsed="false">
      <c r="B5" s="68" t="s">
        <v>366</v>
      </c>
    </row>
    <row r="6" customFormat="false" ht="15" hidden="false" customHeight="false" outlineLevel="0" collapsed="false">
      <c r="B6" s="68" t="s">
        <v>367</v>
      </c>
    </row>
    <row r="7" customFormat="false" ht="23.85" hidden="false" customHeight="false" outlineLevel="0" collapsed="false">
      <c r="B7" s="68" t="s">
        <v>368</v>
      </c>
    </row>
    <row r="8" customFormat="false" ht="15" hidden="false" customHeight="false" outlineLevel="0" collapsed="false">
      <c r="B8" s="68" t="s">
        <v>369</v>
      </c>
    </row>
    <row r="10" customFormat="false" ht="15" hidden="false" customHeight="false" outlineLevel="0" collapsed="false">
      <c r="B10" s="67" t="s">
        <v>370</v>
      </c>
    </row>
    <row r="11" customFormat="false" ht="15" hidden="false" customHeight="false" outlineLevel="0" collapsed="false">
      <c r="B11" s="69" t="s">
        <v>371</v>
      </c>
    </row>
    <row r="13" customFormat="false" ht="15" hidden="false" customHeight="false" outlineLevel="0" collapsed="false">
      <c r="B13" s="70" t="s">
        <v>372</v>
      </c>
    </row>
  </sheetData>
  <hyperlinks>
    <hyperlink ref="B11" r:id="rId1" display="Get it at https://pblab.in/templates/gst-invoice-format-sales-regist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2026-10-13T15:10:22Z</dcterms:created>
  <dc:creator>PB Lab</dc:creator>
  <dc:description/>
  <cp:keywords>PB Lab pblab.in Excel template India</cp:keywords>
  <dc:language>en-US</dc:language>
  <cp:lastModifiedBy/>
  <dcterms:modified xsi:type="dcterms:W3CDTF">2026-10-13T15:10:28Z</dcterms:modified>
  <cp:revision>0</cp:revision>
  <dc:subject>Print GST tax invoices from a sales register: CGST + SGST or IGST chosen from the place of supply, HSN/SAC, amount in words and invoice-wise totals – Pro adds GSTR-1 summaries, credit/debit notes and receivables.</dc:subject>
  <dc:title>GST Invoice Format &amp; Sales Register</dc:title>
</cp:coreProperties>
</file>

<file path=docProps/custom.xml><?xml version="1.0" encoding="utf-8"?>
<Properties xmlns="http://schemas.openxmlformats.org/officeDocument/2006/custom-properties" xmlns:vt="http://schemas.openxmlformats.org/officeDocument/2006/docPropsVTypes"/>
</file>