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Guide" sheetId="1" state="visible" r:id="rId3"/>
    <sheet name="Loan Details" sheetId="2" state="visible" r:id="rId4"/>
    <sheet name="Schedule" sheetId="3" state="visible" r:id="rId5"/>
    <sheet name="Summary" sheetId="4" state="visible" r:id="rId6"/>
    <sheet name="Get Pro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<sst xmlns="http://schemas.openxmlformats.org/spreadsheetml/2006/main" count="131" uniqueCount="125">
  <si>
    <t xml:space="preserve">Loan Amortisation &amp; EMI Schedule</t>
  </si>
  <si>
    <t xml:space="preserve">Month-by-month EMI schedule for home, car, business or personal loans – interest and principal split, rate changes, part-prepayments, and the interest and months you save. Pro adds year-wise interest certificates, current/non-current split and a loan comparison.</t>
  </si>
  <si>
    <t xml:space="preserve">Edition</t>
  </si>
  <si>
    <t xml:space="preserve">FREE EDITION – Pro sheets listed below are available in the Pro edition</t>
  </si>
  <si>
    <t xml:space="preserve">Status</t>
  </si>
  <si>
    <t xml:space="preserve">What this template does</t>
  </si>
  <si>
    <t xml:space="preserve">An EMI schedule for any loan – home, car, business or personal. Enter the amount, rate, tenure and first EMI date to get the EMI and a month-by-month split of interest and principal. Add rate changes and part-prepayments, choose whether the bank keeps your EMI (and shortens the tenure) or keeps the tenure (and lowers the EMI), and see how much interest and how many EMIs you save.</t>
  </si>
  <si>
    <t xml:space="preserve">How to use</t>
  </si>
  <si>
    <t xml:space="preserve">1. Loan Details</t>
  </si>
  <si>
    <t xml:space="preserve">Enter the loan, starting rate, tenure and first EMI date. Add any rate changes (from which EMI number) and prepayments (with which EMI).</t>
  </si>
  <si>
    <t xml:space="preserve">2. Schedule</t>
  </si>
  <si>
    <t xml:space="preserve">Read each month's opening balance, EMI, interest, principal, prepayment and closing balance. Greyed rows are after the loan closes.</t>
  </si>
  <si>
    <t xml:space="preserve">3. Summary</t>
  </si>
  <si>
    <t xml:space="preserve">Compare the loan with your changes against the original plan: total interest, number of EMIs, interest saved and the last EMI date.</t>
  </si>
  <si>
    <t xml:space="preserve">Colour legend</t>
  </si>
  <si>
    <t xml:space="preserve">Blue text, yellow fill</t>
  </si>
  <si>
    <t xml:space="preserve">Input – type or paste here</t>
  </si>
  <si>
    <t xml:space="preserve">Black text</t>
  </si>
  <si>
    <t xml:space="preserve">Formula – do not overwrite</t>
  </si>
  <si>
    <t xml:space="preserve">Green text</t>
  </si>
  <si>
    <t xml:space="preserve">Formula linked from another sheet</t>
  </si>
  <si>
    <t xml:space="preserve">Orange tab</t>
  </si>
  <si>
    <t xml:space="preserve">Pro sheet</t>
  </si>
  <si>
    <t xml:space="preserve">Notes</t>
  </si>
  <si>
    <t xml:space="preserve">Formula</t>
  </si>
  <si>
    <t xml:space="preserve">EMI = P × r × (1 + r)^n ÷ ((1 + r)^n − 1), with r the monthly rate (annual rate ÷ 12) and n the number of months. Interest each month = opening balance × annual rate ÷ 12, rounded to the rupee.</t>
  </si>
  <si>
    <t xml:space="preserve">Floating rates</t>
  </si>
  <si>
    <t xml:space="preserve">When the rate changes, most banks keep the EMI and change the tenure. If the new rate makes the EMI smaller than the month's interest, the Summary flags it – ask the lender to raise the EMI.</t>
  </si>
  <si>
    <t xml:space="preserve">Prepayments</t>
  </si>
  <si>
    <t xml:space="preserve">A prepayment reduces the balance after that month's EMI. Banks generally don't charge foreclosure or prepayment penalties on floating-rate loans to individuals.</t>
  </si>
  <si>
    <t xml:space="preserve">Capacity</t>
  </si>
  <si>
    <t xml:space="preserve">360 EMIs (30 years), 8 rate changes, 15 prepayments. Your lender's schedule may differ by a few rupees because of rounding and day-count.</t>
  </si>
  <si>
    <t xml:space="preserve">Assumptions in the sample data</t>
  </si>
  <si>
    <t xml:space="preserve">A ₹30 lakh home loan at 8.5% for 20 years from May 2026, with rate changes at EMIs 25 and 49 and prepayments of ₹2 lakh and ₹3 lakh, keeping the EMI.</t>
  </si>
  <si>
    <t xml:space="preserve">Pro edition includes</t>
  </si>
  <si>
    <t xml:space="preserve">✔</t>
  </si>
  <si>
    <t xml:space="preserve">Year-wise &amp; Tax – interest, principal and prepayments for each financial year (April–March), the current / non-current split of the loan for the balance sheet, and old-regime home-loan deductions</t>
  </si>
  <si>
    <t xml:space="preserve">Compare Loans – three offers side by side with EMI, total interest, fees, total cost and the effective annual rate (APR)</t>
  </si>
  <si>
    <t xml:space="preserve">Free updates and priority email support</t>
  </si>
  <si>
    <t xml:space="preserve">Support</t>
  </si>
  <si>
    <t xml:space="preserve">Email</t>
  </si>
  <si>
    <t xml:space="preserve">support@pblab.in</t>
  </si>
  <si>
    <t xml:space="preserve">Contact</t>
  </si>
  <si>
    <t xml:space="preserve">https://pblab.in/contact</t>
  </si>
  <si>
    <t xml:space="preserve">More templates</t>
  </si>
  <si>
    <t xml:space="preserve">https://pblab.in/templates</t>
  </si>
  <si>
    <t xml:space="preserve">Licence</t>
  </si>
  <si>
    <t xml:space="preserve">For use in your own business or practice, including client work. Please don't resell, share or upload the file.</t>
  </si>
  <si>
    <t xml:space="preserve">Disclaimer</t>
  </si>
  <si>
    <t xml:space="preserve">Formats are provided as a working aid. Verify rates, thresholds and presentation against the current law, ICAI guidance and your auditor's requirements before filing or publishing.</t>
  </si>
  <si>
    <t xml:space="preserve">Loan details, rate changes and prepayments</t>
  </si>
  <si>
    <t xml:space="preserve">PB Lab · pblab.in/templates</t>
  </si>
  <si>
    <t xml:space="preserve">Blue cells are inputs.</t>
  </si>
  <si>
    <t xml:space="preserve">Loan</t>
  </si>
  <si>
    <t xml:space="preserve">Rate changes</t>
  </si>
  <si>
    <t xml:space="preserve">Part-prepayments</t>
  </si>
  <si>
    <t xml:space="preserve">Loan / lender</t>
  </si>
  <si>
    <t xml:space="preserve">Home loan – SBI</t>
  </si>
  <si>
    <t xml:space="preserve">From EMI no.</t>
  </si>
  <si>
    <t xml:space="preserve">New rate</t>
  </si>
  <si>
    <t xml:space="preserve">With EMI no.</t>
  </si>
  <si>
    <t xml:space="preserve">Amount (₹)</t>
  </si>
  <si>
    <t xml:space="preserve">Loan amount (₹)</t>
  </si>
  <si>
    <t xml:space="preserve">Interest rate (% a year, starting)</t>
  </si>
  <si>
    <t xml:space="preserve">Tenure (months)</t>
  </si>
  <si>
    <t xml:space="preserve">First EMI date</t>
  </si>
  <si>
    <t xml:space="preserve">After a rate change or prepayment</t>
  </si>
  <si>
    <t xml:space="preserve">Keep EMI, change tenure</t>
  </si>
  <si>
    <t xml:space="preserve">EMI (worked out)</t>
  </si>
  <si>
    <t xml:space="preserve">EMI = P × r × (1 + r)^n ÷ ((1 + r)^n − 1), where r is the monthly rate and n the number of months.</t>
  </si>
  <si>
    <t xml:space="preserve">Enter in order of EMI number.</t>
  </si>
  <si>
    <t xml:space="preserve">EMI schedule</t>
  </si>
  <si>
    <t xml:space="preserve">EMI no.</t>
  </si>
  <si>
    <t xml:space="preserve">Date</t>
  </si>
  <si>
    <t xml:space="preserve">Rate</t>
  </si>
  <si>
    <t xml:space="preserve">Opening balance</t>
  </si>
  <si>
    <t xml:space="preserve">EMI</t>
  </si>
  <si>
    <t xml:space="preserve">Interest</t>
  </si>
  <si>
    <t xml:space="preserve">Principal</t>
  </si>
  <si>
    <t xml:space="preserve">Prepayment</t>
  </si>
  <si>
    <t xml:space="preserve">Closing balance</t>
  </si>
  <si>
    <t xml:space="preserve">Planned EMI</t>
  </si>
  <si>
    <t xml:space="preserve">Loan summary</t>
  </si>
  <si>
    <t xml:space="preserve">With changes</t>
  </si>
  <si>
    <t xml:space="preserve">Original plan</t>
  </si>
  <si>
    <t xml:space="preserve">Loan amount</t>
  </si>
  <si>
    <t xml:space="preserve">Starting EMI</t>
  </si>
  <si>
    <t xml:space="preserve">Number of EMIs</t>
  </si>
  <si>
    <t xml:space="preserve">Last EMI date</t>
  </si>
  <si>
    <t xml:space="preserve">Total interest</t>
  </si>
  <si>
    <t xml:space="preserve">Total paid (EMIs + prepayments)</t>
  </si>
  <si>
    <t xml:space="preserve">Interest saved vs original plan</t>
  </si>
  <si>
    <t xml:space="preserve">EMIs saved</t>
  </si>
  <si>
    <t xml:space="preserve">Check: principal + prepayments repaid = loan amount</t>
  </si>
  <si>
    <t xml:space="preserve">Months where EMI is less than interest</t>
  </si>
  <si>
    <t xml:space="preserve">Year (12 EMIs each)</t>
  </si>
  <si>
    <t xml:space="preserve">Principal + prepayment</t>
  </si>
  <si>
    <t xml:space="preserve">Year 1</t>
  </si>
  <si>
    <t xml:space="preserve">Year 2</t>
  </si>
  <si>
    <t xml:space="preserve">Year 3</t>
  </si>
  <si>
    <t xml:space="preserve">Year 4</t>
  </si>
  <si>
    <t xml:space="preserve">Year 5</t>
  </si>
  <si>
    <t xml:space="preserve">Year 6</t>
  </si>
  <si>
    <t xml:space="preserve">Year 7</t>
  </si>
  <si>
    <t xml:space="preserve">Year 8</t>
  </si>
  <si>
    <t xml:space="preserve">Year 9</t>
  </si>
  <si>
    <t xml:space="preserve">Year 10</t>
  </si>
  <si>
    <t xml:space="preserve">Year 11</t>
  </si>
  <si>
    <t xml:space="preserve">Year 12</t>
  </si>
  <si>
    <t xml:space="preserve">Year 13</t>
  </si>
  <si>
    <t xml:space="preserve">Year 14</t>
  </si>
  <si>
    <t xml:space="preserve">Year 15</t>
  </si>
  <si>
    <t xml:space="preserve">Year 16</t>
  </si>
  <si>
    <t xml:space="preserve">Year 17</t>
  </si>
  <si>
    <t xml:space="preserve">Year 18</t>
  </si>
  <si>
    <t xml:space="preserve">Year 19</t>
  </si>
  <si>
    <t xml:space="preserve">Year 20</t>
  </si>
  <si>
    <t xml:space="preserve">Upgrade to Loan Amortisation &amp; EMI Schedule – Pro</t>
  </si>
  <si>
    <t xml:space="preserve">The Pro edition adds:</t>
  </si>
  <si>
    <t xml:space="preserve">✔  Year-wise &amp; Tax – interest, principal and prepayments for each financial year (April–March), the current / non-current split of the loan for the balance sheet, and old-regime home-loan deductions</t>
  </si>
  <si>
    <t xml:space="preserve">✔  Compare Loans – three offers side by side with EMI, total interest, fees, total cost and the effective annual rate (APR)</t>
  </si>
  <si>
    <t xml:space="preserve">✔  Free updates and priority email support</t>
  </si>
  <si>
    <t xml:space="preserve">Price: ₹19 (regular ₹99) – one-time payment, instant download</t>
  </si>
  <si>
    <t xml:space="preserve">Get it at https://pblab.in/templates/loan-emi-schedule</t>
  </si>
  <si>
    <t xml:space="preserve">Questions? support@pblab.in · https://pblab.in/contact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</si>
</sst>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;\(#,##0\);\-"/>
    <numFmt numFmtId="166" formatCode="0.00%"/>
    <numFmt numFmtId="167" formatCode="0"/>
    <numFmt numFmtId="168" formatCode="dd\-mmm\-yyyy"/>
    <numFmt numFmtId="169" formatCode="#,##0"/>
  </numFmts>
  <fonts count="2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3864"/>
      <name val="Arial"/>
      <family val="0"/>
      <charset val="1"/>
    </font>
    <font>
      <i val="true"/>
      <sz val="9"/>
      <color rgb="FF595959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b val="true"/>
      <sz val="10"/>
      <color rgb="FF008000"/>
      <name val="Arial"/>
      <family val="0"/>
      <charset val="1"/>
    </font>
    <font>
      <b val="true"/>
      <sz val="11"/>
      <color rgb="FF1F3864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008000"/>
      <name val="Arial"/>
      <family val="0"/>
      <charset val="1"/>
    </font>
    <font>
      <b val="true"/>
      <sz val="14"/>
      <color rgb="FF1F3864"/>
      <name val="Arial"/>
      <family val="0"/>
      <charset val="1"/>
    </font>
    <font>
      <sz val="8"/>
      <color rgb="FF80808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6"/>
      <color rgb="FFC65911"/>
      <name val="Arial"/>
      <family val="0"/>
      <charset val="1"/>
    </font>
    <font>
      <b val="true"/>
      <u val="single"/>
      <sz val="11"/>
      <color rgb="FF0563C1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FFF2CC"/>
        <bgColor rgb="FFFCE4D6"/>
      </patternFill>
    </fill>
    <fill>
      <patternFill patternType="solid">
        <fgColor rgb="FFFCE4D6"/>
        <bgColor rgb="FFFFF2CC"/>
      </patternFill>
    </fill>
    <fill>
      <patternFill patternType="solid">
        <fgColor rgb="FFD9E1F2"/>
        <bgColor rgb="FFDDEBF7"/>
      </patternFill>
    </fill>
    <fill>
      <patternFill patternType="solid">
        <fgColor rgb="FF1F3864"/>
        <bgColor rgb="FF333333"/>
      </patternFill>
    </fill>
    <fill>
      <patternFill patternType="solid">
        <fgColor rgb="FFE2EFDA"/>
        <bgColor rgb="FFDDEBF7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hair">
        <color rgb="FFBFBFBF"/>
      </left>
      <right style="hair">
        <color rgb="FFBFBFBF"/>
      </right>
      <top style="hair">
        <color rgb="FFBFBFBF"/>
      </top>
      <bottom style="hair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3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6" fillId="4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1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5" fillId="5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5" fillId="5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11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12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11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11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1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11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8" fontId="11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11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6" fillId="6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8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5">
    <dxf>
      <font>
        <name val="Arial"/>
        <charset val="1"/>
        <family val="0"/>
        <color rgb="FFBFBFBF"/>
      </font>
    </dxf>
    <dxf>
      <fill>
        <patternFill>
          <bgColor rgb="FFFFC7CE"/>
        </patternFill>
      </fill>
    </dxf>
    <dxf>
      <fill>
        <patternFill>
          <bgColor rgb="FFDDEBF7"/>
        </patternFill>
      </fill>
    </dxf>
    <dxf>
      <font>
        <name val="Arial"/>
        <charset val="1"/>
        <family val="0"/>
        <b val="1"/>
        <color rgb="FF006100"/>
      </font>
      <fill>
        <patternFill>
          <bgColor rgb="FFC6EFCE"/>
        </patternFill>
      </fill>
    </dxf>
    <dxf>
      <font>
        <name val="Arial"/>
        <charset val="1"/>
        <family val="0"/>
        <b val="1"/>
        <color rgb="FF9C0006"/>
      </font>
      <fill>
        <patternFill>
          <bgColor rgb="FFFFC7CE"/>
        </patternFill>
      </fill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DDEBF7"/>
      <rgbColor rgb="FF660066"/>
      <rgbColor rgb="FFFF8080"/>
      <rgbColor rgb="FF0563C1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2EFDA"/>
      <rgbColor rgb="FFC6EFCE"/>
      <rgbColor rgb="FFFCE4D6"/>
      <rgbColor rgb="FFD9E1F2"/>
      <rgbColor rgb="FFFF99CC"/>
      <rgbColor rgb="FFCC99FF"/>
      <rgbColor rgb="FFFFC7CE"/>
      <rgbColor rgb="FF3366FF"/>
      <rgbColor rgb="FF33CCCC"/>
      <rgbColor rgb="FF99CC00"/>
      <rgbColor rgb="FFFFC000"/>
      <rgbColor rgb="FFFF9900"/>
      <rgbColor rgb="FFC65911"/>
      <rgbColor rgb="FF595959"/>
      <rgbColor rgb="FF878787"/>
      <rgbColor rgb="FF1F3864"/>
      <rgbColor rgb="FF70AD47"/>
      <rgbColor rgb="FF006100"/>
      <rgbColor rgb="FF333300"/>
      <rgbColor rgb="FF993300"/>
      <rgbColor rgb="FF993366"/>
      <rgbColor rgb="FF2F5597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Year-wise interest and principal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stacked"/>
        <c:varyColors val="0"/>
        <c:ser>
          <c:idx val="0"/>
          <c:order val="0"/>
          <c:tx>
            <c:strRef>
              <c:f>Summary!B19</c:f>
              <c:strCache>
                <c:ptCount val="1"/>
                <c:pt idx="0">
                  <c:v>Interest</c:v>
                </c:pt>
              </c:strCache>
            </c:strRef>
          </c:tx>
          <c:spPr>
            <a:solidFill>
              <a:srgbClr val="c00000"/>
            </a:solidFill>
            <a:ln w="0">
              <a:noFill/>
            </a:ln>
          </c:spPr>
          <c:invertIfNegative val="0"/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ct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Summary!$A$20:$A$39</c:f>
              <c:strCache>
                <c:ptCount val="20"/>
                <c:pt idx="0">
                  <c:v>Year 1</c:v>
                </c:pt>
                <c:pt idx="1">
                  <c:v>Year 2</c:v>
                </c:pt>
                <c:pt idx="2">
                  <c:v>Year 3</c:v>
                </c:pt>
                <c:pt idx="3">
                  <c:v>Year 4</c:v>
                </c:pt>
                <c:pt idx="4">
                  <c:v>Year 5</c:v>
                </c:pt>
                <c:pt idx="5">
                  <c:v>Year 6</c:v>
                </c:pt>
                <c:pt idx="6">
                  <c:v>Year 7</c:v>
                </c:pt>
                <c:pt idx="7">
                  <c:v>Year 8</c:v>
                </c:pt>
                <c:pt idx="8">
                  <c:v>Year 9</c:v>
                </c:pt>
                <c:pt idx="9">
                  <c:v>Year 10</c:v>
                </c:pt>
                <c:pt idx="10">
                  <c:v>Year 11</c:v>
                </c:pt>
                <c:pt idx="11">
                  <c:v>Year 12</c:v>
                </c:pt>
                <c:pt idx="12">
                  <c:v>Year 13</c:v>
                </c:pt>
                <c:pt idx="13">
                  <c:v>Year 14</c:v>
                </c:pt>
                <c:pt idx="14">
                  <c:v>Year 15</c:v>
                </c:pt>
                <c:pt idx="15">
                  <c:v>Year 16</c:v>
                </c:pt>
                <c:pt idx="16">
                  <c:v>Year 17</c:v>
                </c:pt>
                <c:pt idx="17">
                  <c:v>Year 18</c:v>
                </c:pt>
                <c:pt idx="18">
                  <c:v>Year 19</c:v>
                </c:pt>
                <c:pt idx="19">
                  <c:v>Year 20</c:v>
                </c:pt>
              </c:strCache>
            </c:strRef>
          </c:cat>
          <c:val>
            <c:numRef>
              <c:f>Summary!$B$20:$B$39</c:f>
              <c:numCache>
                <c:formatCode>#,##0;\(#,##0\);\-</c:formatCode>
                <c:ptCount val="20"/>
                <c:pt idx="0">
                  <c:v>252710</c:v>
                </c:pt>
                <c:pt idx="1">
                  <c:v>231284</c:v>
                </c:pt>
                <c:pt idx="2">
                  <c:v>229400</c:v>
                </c:pt>
                <c:pt idx="3">
                  <c:v>196878</c:v>
                </c:pt>
                <c:pt idx="4">
                  <c:v>173057</c:v>
                </c:pt>
                <c:pt idx="5">
                  <c:v>161116</c:v>
                </c:pt>
                <c:pt idx="6">
                  <c:v>148149</c:v>
                </c:pt>
                <c:pt idx="7">
                  <c:v>134072</c:v>
                </c:pt>
                <c:pt idx="8">
                  <c:v>118790</c:v>
                </c:pt>
                <c:pt idx="9">
                  <c:v>102196</c:v>
                </c:pt>
                <c:pt idx="10">
                  <c:v>84182</c:v>
                </c:pt>
                <c:pt idx="11">
                  <c:v>64625</c:v>
                </c:pt>
                <c:pt idx="12">
                  <c:v>43390</c:v>
                </c:pt>
                <c:pt idx="13">
                  <c:v>20336</c:v>
                </c:pt>
                <c:pt idx="14">
                  <c:v>1318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</c:ser>
        <c:ser>
          <c:idx val="1"/>
          <c:order val="1"/>
          <c:tx>
            <c:strRef>
              <c:f>Summary!C19</c:f>
              <c:strCache>
                <c:ptCount val="1"/>
                <c:pt idx="0">
                  <c:v>Principal + prepayment</c:v>
                </c:pt>
              </c:strCache>
            </c:strRef>
          </c:tx>
          <c:spPr>
            <a:solidFill>
              <a:srgbClr val="2f5597"/>
            </a:solidFill>
            <a:ln w="0">
              <a:noFill/>
            </a:ln>
          </c:spPr>
          <c:invertIfNegative val="0"/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ct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Summary!$A$20:$A$39</c:f>
              <c:strCache>
                <c:ptCount val="20"/>
                <c:pt idx="0">
                  <c:v>Year 1</c:v>
                </c:pt>
                <c:pt idx="1">
                  <c:v>Year 2</c:v>
                </c:pt>
                <c:pt idx="2">
                  <c:v>Year 3</c:v>
                </c:pt>
                <c:pt idx="3">
                  <c:v>Year 4</c:v>
                </c:pt>
                <c:pt idx="4">
                  <c:v>Year 5</c:v>
                </c:pt>
                <c:pt idx="5">
                  <c:v>Year 6</c:v>
                </c:pt>
                <c:pt idx="6">
                  <c:v>Year 7</c:v>
                </c:pt>
                <c:pt idx="7">
                  <c:v>Year 8</c:v>
                </c:pt>
                <c:pt idx="8">
                  <c:v>Year 9</c:v>
                </c:pt>
                <c:pt idx="9">
                  <c:v>Year 10</c:v>
                </c:pt>
                <c:pt idx="10">
                  <c:v>Year 11</c:v>
                </c:pt>
                <c:pt idx="11">
                  <c:v>Year 12</c:v>
                </c:pt>
                <c:pt idx="12">
                  <c:v>Year 13</c:v>
                </c:pt>
                <c:pt idx="13">
                  <c:v>Year 14</c:v>
                </c:pt>
                <c:pt idx="14">
                  <c:v>Year 15</c:v>
                </c:pt>
                <c:pt idx="15">
                  <c:v>Year 16</c:v>
                </c:pt>
                <c:pt idx="16">
                  <c:v>Year 17</c:v>
                </c:pt>
                <c:pt idx="17">
                  <c:v>Year 18</c:v>
                </c:pt>
                <c:pt idx="18">
                  <c:v>Year 19</c:v>
                </c:pt>
                <c:pt idx="19">
                  <c:v>Year 20</c:v>
                </c:pt>
              </c:strCache>
            </c:strRef>
          </c:cat>
          <c:val>
            <c:numRef>
              <c:f>Summary!$C$20:$C$39</c:f>
              <c:numCache>
                <c:formatCode>#,##0;\(#,##0\);\-</c:formatCode>
                <c:ptCount val="20"/>
                <c:pt idx="0">
                  <c:v>59710</c:v>
                </c:pt>
                <c:pt idx="1">
                  <c:v>281136</c:v>
                </c:pt>
                <c:pt idx="2">
                  <c:v>83020</c:v>
                </c:pt>
                <c:pt idx="3">
                  <c:v>415542</c:v>
                </c:pt>
                <c:pt idx="4">
                  <c:v>139363</c:v>
                </c:pt>
                <c:pt idx="5">
                  <c:v>151304</c:v>
                </c:pt>
                <c:pt idx="6">
                  <c:v>164271</c:v>
                </c:pt>
                <c:pt idx="7">
                  <c:v>178348</c:v>
                </c:pt>
                <c:pt idx="8">
                  <c:v>193630</c:v>
                </c:pt>
                <c:pt idx="9">
                  <c:v>210224</c:v>
                </c:pt>
                <c:pt idx="10">
                  <c:v>228238</c:v>
                </c:pt>
                <c:pt idx="11">
                  <c:v>247795</c:v>
                </c:pt>
                <c:pt idx="12">
                  <c:v>269030</c:v>
                </c:pt>
                <c:pt idx="13">
                  <c:v>292084</c:v>
                </c:pt>
                <c:pt idx="14">
                  <c:v>86305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</c:ser>
        <c:gapWidth val="150"/>
        <c:overlap val="100"/>
        <c:axId val="4297551"/>
        <c:axId val="82544895"/>
      </c:barChart>
      <c:catAx>
        <c:axId val="4297551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2544895"/>
        <c:crosses val="autoZero"/>
        <c:auto val="1"/>
        <c:lblAlgn val="ctr"/>
        <c:lblOffset val="100"/>
        <c:noMultiLvlLbl val="0"/>
      </c:catAx>
      <c:valAx>
        <c:axId val="82544895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297551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0</xdr:colOff>
      <xdr:row>3</xdr:row>
      <xdr:rowOff>0</xdr:rowOff>
    </xdr:from>
    <xdr:to>
      <xdr:col>15</xdr:col>
      <xdr:colOff>473040</xdr:colOff>
      <xdr:row>17</xdr:row>
      <xdr:rowOff>126720</xdr:rowOff>
    </xdr:to>
    <xdr:graphicFrame>
      <xdr:nvGraphicFramePr>
        <xdr:cNvPr id="0" name="Chart 1"/>
        <xdr:cNvGraphicFramePr/>
      </xdr:nvGraphicFramePr>
      <xdr:xfrm>
        <a:off x="6391440" y="657360"/>
        <a:ext cx="7199280" cy="28792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hyperlink" Target="https://pblab.in/templates/loan-emi-schedule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3864"/>
    <pageSetUpPr fitToPage="false"/>
  </sheetPr>
  <dimension ref="B2:C4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30"/>
    <col collapsed="false" customWidth="true" hidden="false" outlineLevel="0" max="3" min="3" style="1" width="92"/>
  </cols>
  <sheetData>
    <row r="2" customFormat="false" ht="19.5" hidden="false" customHeight="true" outlineLevel="0" collapsed="false">
      <c r="B2" s="2" t="s">
        <v>0</v>
      </c>
    </row>
    <row r="3" customFormat="false" ht="15" hidden="false" customHeight="true" outlineLevel="0" collapsed="false">
      <c r="B3" s="3" t="s">
        <v>1</v>
      </c>
    </row>
    <row r="4" customFormat="false" ht="15" hidden="false" customHeight="true" outlineLevel="0" collapsed="false">
      <c r="B4" s="4" t="s">
        <v>2</v>
      </c>
      <c r="C4" s="5" t="s">
        <v>3</v>
      </c>
    </row>
    <row r="5" customFormat="false" ht="15" hidden="false" customHeight="true" outlineLevel="0" collapsed="false">
      <c r="B5" s="4" t="s">
        <v>4</v>
      </c>
      <c r="C5" s="6" t="str">
        <f aca="false">IF(AND(Summary!B16="OK",Summary!B17=0),"✔ EMI ₹"&amp;TEXT('Loan Details'!$B$12,"#,##0")&amp;" – loan closes "&amp;TEXT(Summary!B8,"mmm-yyyy")&amp;" after "&amp;Summary!B7&amp;" EMIs; interest saved ₹"&amp;TEXT(Summary!B13,"#,##0"),"✘ Check the Summary – the loan may not be repaid within the schedule")</f>
        <v>✔ EMI ₹26,035 – loan closes Aug-2040 after 172 EMIs; interest saved ₹1,286,897</v>
      </c>
    </row>
    <row r="7" customFormat="false" ht="15" hidden="false" customHeight="true" outlineLevel="0" collapsed="false">
      <c r="B7" s="7" t="s">
        <v>5</v>
      </c>
    </row>
    <row r="8" customFormat="false" ht="55.5" hidden="false" customHeight="true" outlineLevel="0" collapsed="false">
      <c r="B8" s="8"/>
      <c r="C8" s="8" t="s">
        <v>6</v>
      </c>
    </row>
    <row r="10" customFormat="false" ht="15" hidden="false" customHeight="true" outlineLevel="0" collapsed="false">
      <c r="B10" s="7" t="s">
        <v>7</v>
      </c>
    </row>
    <row r="11" customFormat="false" ht="27.75" hidden="false" customHeight="true" outlineLevel="0" collapsed="false">
      <c r="B11" s="9" t="s">
        <v>8</v>
      </c>
      <c r="C11" s="8" t="s">
        <v>9</v>
      </c>
    </row>
    <row r="12" customFormat="false" ht="27.75" hidden="false" customHeight="true" outlineLevel="0" collapsed="false">
      <c r="B12" s="9" t="s">
        <v>10</v>
      </c>
      <c r="C12" s="8" t="s">
        <v>11</v>
      </c>
    </row>
    <row r="13" customFormat="false" ht="27.75" hidden="false" customHeight="true" outlineLevel="0" collapsed="false">
      <c r="B13" s="9" t="s">
        <v>12</v>
      </c>
      <c r="C13" s="8" t="s">
        <v>13</v>
      </c>
    </row>
    <row r="15" customFormat="false" ht="15" hidden="false" customHeight="true" outlineLevel="0" collapsed="false">
      <c r="B15" s="7" t="s">
        <v>14</v>
      </c>
    </row>
    <row r="16" customFormat="false" ht="15" hidden="false" customHeight="true" outlineLevel="0" collapsed="false">
      <c r="B16" s="10" t="s">
        <v>15</v>
      </c>
      <c r="C16" s="8" t="s">
        <v>16</v>
      </c>
    </row>
    <row r="17" customFormat="false" ht="15" hidden="false" customHeight="true" outlineLevel="0" collapsed="false">
      <c r="B17" s="9" t="s">
        <v>17</v>
      </c>
      <c r="C17" s="8" t="s">
        <v>18</v>
      </c>
    </row>
    <row r="18" customFormat="false" ht="15" hidden="false" customHeight="true" outlineLevel="0" collapsed="false">
      <c r="B18" s="11" t="s">
        <v>19</v>
      </c>
      <c r="C18" s="8" t="s">
        <v>20</v>
      </c>
    </row>
    <row r="19" customFormat="false" ht="15" hidden="false" customHeight="true" outlineLevel="0" collapsed="false">
      <c r="B19" s="12" t="s">
        <v>21</v>
      </c>
      <c r="C19" s="8" t="s">
        <v>22</v>
      </c>
    </row>
    <row r="21" customFormat="false" ht="15" hidden="false" customHeight="true" outlineLevel="0" collapsed="false">
      <c r="B21" s="7" t="s">
        <v>23</v>
      </c>
    </row>
    <row r="22" customFormat="false" ht="27.75" hidden="false" customHeight="true" outlineLevel="0" collapsed="false">
      <c r="B22" s="9" t="s">
        <v>24</v>
      </c>
      <c r="C22" s="8" t="s">
        <v>25</v>
      </c>
    </row>
    <row r="23" customFormat="false" ht="27.75" hidden="false" customHeight="true" outlineLevel="0" collapsed="false">
      <c r="B23" s="9" t="s">
        <v>26</v>
      </c>
      <c r="C23" s="8" t="s">
        <v>27</v>
      </c>
    </row>
    <row r="24" customFormat="false" ht="27.75" hidden="false" customHeight="true" outlineLevel="0" collapsed="false">
      <c r="B24" s="9" t="s">
        <v>28</v>
      </c>
      <c r="C24" s="8" t="s">
        <v>29</v>
      </c>
    </row>
    <row r="25" customFormat="false" ht="27.75" hidden="false" customHeight="true" outlineLevel="0" collapsed="false">
      <c r="B25" s="9" t="s">
        <v>30</v>
      </c>
      <c r="C25" s="8" t="s">
        <v>31</v>
      </c>
    </row>
    <row r="27" customFormat="false" ht="15" hidden="false" customHeight="true" outlineLevel="0" collapsed="false">
      <c r="B27" s="7" t="s">
        <v>32</v>
      </c>
    </row>
    <row r="28" customFormat="false" ht="27.75" hidden="false" customHeight="true" outlineLevel="0" collapsed="false">
      <c r="B28" s="8"/>
      <c r="C28" s="8" t="s">
        <v>33</v>
      </c>
    </row>
    <row r="30" customFormat="false" ht="15" hidden="false" customHeight="true" outlineLevel="0" collapsed="false">
      <c r="B30" s="7" t="s">
        <v>34</v>
      </c>
    </row>
    <row r="31" customFormat="false" ht="27.75" hidden="false" customHeight="true" outlineLevel="0" collapsed="false">
      <c r="B31" s="9" t="s">
        <v>35</v>
      </c>
      <c r="C31" s="8" t="s">
        <v>36</v>
      </c>
    </row>
    <row r="32" customFormat="false" ht="27.75" hidden="false" customHeight="true" outlineLevel="0" collapsed="false">
      <c r="B32" s="9" t="s">
        <v>35</v>
      </c>
      <c r="C32" s="8" t="s">
        <v>37</v>
      </c>
    </row>
    <row r="33" customFormat="false" ht="15" hidden="false" customHeight="true" outlineLevel="0" collapsed="false">
      <c r="B33" s="9" t="s">
        <v>35</v>
      </c>
      <c r="C33" s="8" t="s">
        <v>38</v>
      </c>
    </row>
    <row r="35" customFormat="false" ht="15" hidden="false" customHeight="true" outlineLevel="0" collapsed="false">
      <c r="B35" s="7" t="s">
        <v>39</v>
      </c>
    </row>
    <row r="36" customFormat="false" ht="15" hidden="false" customHeight="true" outlineLevel="0" collapsed="false">
      <c r="B36" s="9" t="s">
        <v>40</v>
      </c>
      <c r="C36" s="8" t="s">
        <v>41</v>
      </c>
    </row>
    <row r="37" customFormat="false" ht="15" hidden="false" customHeight="true" outlineLevel="0" collapsed="false">
      <c r="B37" s="9" t="s">
        <v>42</v>
      </c>
      <c r="C37" s="8" t="s">
        <v>43</v>
      </c>
    </row>
    <row r="38" customFormat="false" ht="15" hidden="false" customHeight="true" outlineLevel="0" collapsed="false">
      <c r="B38" s="9" t="s">
        <v>44</v>
      </c>
      <c r="C38" s="8" t="s">
        <v>45</v>
      </c>
    </row>
    <row r="39" customFormat="false" ht="27.75" hidden="false" customHeight="true" outlineLevel="0" collapsed="false">
      <c r="B39" s="9" t="s">
        <v>46</v>
      </c>
      <c r="C39" s="8" t="s">
        <v>47</v>
      </c>
    </row>
    <row r="40" customFormat="false" ht="27.75" hidden="false" customHeight="true" outlineLevel="0" collapsed="false">
      <c r="B40" s="9" t="s">
        <v>48</v>
      </c>
      <c r="C40" s="8" t="s">
        <v>49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C000"/>
    <pageSetUpPr fitToPage="true"/>
  </sheetPr>
  <dimension ref="A1:K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4"/>
    <col collapsed="false" customWidth="true" hidden="false" outlineLevel="0" max="2" min="2" style="1" width="16"/>
    <col collapsed="false" customWidth="true" hidden="false" outlineLevel="0" max="3" min="3" style="1" width="3"/>
    <col collapsed="false" customWidth="true" hidden="false" outlineLevel="0" max="5" min="4" style="1" width="14"/>
    <col collapsed="false" customWidth="true" hidden="false" outlineLevel="0" max="6" min="6" style="1" width="3"/>
    <col collapsed="false" customWidth="true" hidden="false" outlineLevel="0" max="7" min="7" style="1" width="14"/>
    <col collapsed="false" customWidth="true" hidden="false" outlineLevel="0" max="8" min="8" style="1" width="16"/>
    <col collapsed="false" customWidth="true" hidden="true" outlineLevel="0" max="11" min="10" style="1" width="13"/>
  </cols>
  <sheetData>
    <row r="1" customFormat="false" ht="21.75" hidden="false" customHeight="true" outlineLevel="0" collapsed="false">
      <c r="A1" s="13" t="s">
        <v>50</v>
      </c>
      <c r="H1" s="14" t="s">
        <v>51</v>
      </c>
    </row>
    <row r="2" customFormat="false" ht="15" hidden="false" customHeight="true" outlineLevel="0" collapsed="false">
      <c r="A2" s="3" t="s">
        <v>52</v>
      </c>
    </row>
    <row r="4" customFormat="false" ht="15" hidden="false" customHeight="true" outlineLevel="0" collapsed="false">
      <c r="A4" s="15" t="s">
        <v>53</v>
      </c>
      <c r="B4" s="16"/>
      <c r="D4" s="7" t="s">
        <v>54</v>
      </c>
      <c r="G4" s="7" t="s">
        <v>55</v>
      </c>
    </row>
    <row r="5" customFormat="false" ht="19.5" hidden="false" customHeight="true" outlineLevel="0" collapsed="false">
      <c r="A5" s="17" t="s">
        <v>56</v>
      </c>
      <c r="B5" s="18" t="s">
        <v>57</v>
      </c>
      <c r="D5" s="19" t="s">
        <v>58</v>
      </c>
      <c r="E5" s="20" t="s">
        <v>59</v>
      </c>
      <c r="G5" s="19" t="s">
        <v>60</v>
      </c>
      <c r="H5" s="20" t="s">
        <v>61</v>
      </c>
    </row>
    <row r="6" customFormat="false" ht="15" hidden="false" customHeight="true" outlineLevel="0" collapsed="false">
      <c r="A6" s="17" t="s">
        <v>62</v>
      </c>
      <c r="B6" s="21" t="n">
        <v>3000000</v>
      </c>
      <c r="D6" s="17" t="n">
        <v>1</v>
      </c>
      <c r="E6" s="22" t="n">
        <f aca="false">'Loan Details'!$B$7</f>
        <v>0.085</v>
      </c>
      <c r="G6" s="23" t="n">
        <v>13</v>
      </c>
      <c r="H6" s="21" t="n">
        <v>200000</v>
      </c>
      <c r="J6" s="24" t="n">
        <f aca="false">IF(D6="",99999,D6)</f>
        <v>1</v>
      </c>
      <c r="K6" s="25" t="n">
        <f aca="false">IF(D6="",E$6,E6)</f>
        <v>0.085</v>
      </c>
    </row>
    <row r="7" customFormat="false" ht="15" hidden="false" customHeight="true" outlineLevel="0" collapsed="false">
      <c r="A7" s="17" t="s">
        <v>63</v>
      </c>
      <c r="B7" s="26" t="n">
        <v>0.085</v>
      </c>
      <c r="D7" s="23" t="n">
        <v>25</v>
      </c>
      <c r="E7" s="26" t="n">
        <v>0.0875</v>
      </c>
      <c r="G7" s="23" t="n">
        <v>37</v>
      </c>
      <c r="H7" s="21" t="n">
        <v>300000</v>
      </c>
      <c r="J7" s="24" t="n">
        <f aca="false">IF(D7="",99999,D7)</f>
        <v>25</v>
      </c>
      <c r="K7" s="25" t="n">
        <f aca="false">IF(D7="",E$6,E7)</f>
        <v>0.0875</v>
      </c>
    </row>
    <row r="8" customFormat="false" ht="15" hidden="false" customHeight="true" outlineLevel="0" collapsed="false">
      <c r="A8" s="17" t="s">
        <v>64</v>
      </c>
      <c r="B8" s="23" t="n">
        <v>240</v>
      </c>
      <c r="D8" s="23" t="n">
        <v>49</v>
      </c>
      <c r="E8" s="26" t="n">
        <v>0.0825</v>
      </c>
      <c r="G8" s="27"/>
      <c r="H8" s="28"/>
      <c r="J8" s="24" t="n">
        <f aca="false">IF(D8="",99999,D8)</f>
        <v>49</v>
      </c>
      <c r="K8" s="25" t="n">
        <f aca="false">IF(D8="",E$6,E8)</f>
        <v>0.0825</v>
      </c>
    </row>
    <row r="9" customFormat="false" ht="15" hidden="false" customHeight="true" outlineLevel="0" collapsed="false">
      <c r="A9" s="17" t="s">
        <v>65</v>
      </c>
      <c r="B9" s="29" t="n">
        <v>46147</v>
      </c>
      <c r="D9" s="27"/>
      <c r="E9" s="30"/>
      <c r="G9" s="27"/>
      <c r="H9" s="28"/>
      <c r="J9" s="24" t="n">
        <f aca="false">IF(D9="",99999,D9)</f>
        <v>99999</v>
      </c>
      <c r="K9" s="25" t="n">
        <f aca="false">IF(D9="",E$6,E9)</f>
        <v>0.085</v>
      </c>
    </row>
    <row r="10" customFormat="false" ht="15" hidden="false" customHeight="true" outlineLevel="0" collapsed="false">
      <c r="A10" s="17" t="s">
        <v>66</v>
      </c>
      <c r="B10" s="18" t="s">
        <v>67</v>
      </c>
      <c r="D10" s="27"/>
      <c r="E10" s="30"/>
      <c r="G10" s="27"/>
      <c r="H10" s="28"/>
      <c r="J10" s="24" t="n">
        <f aca="false">IF(D10="",99999,D10)</f>
        <v>99999</v>
      </c>
      <c r="K10" s="25" t="n">
        <f aca="false">IF(D10="",E$6,E10)</f>
        <v>0.085</v>
      </c>
    </row>
    <row r="11" customFormat="false" ht="15" hidden="false" customHeight="true" outlineLevel="0" collapsed="false">
      <c r="D11" s="27"/>
      <c r="E11" s="30"/>
      <c r="G11" s="27"/>
      <c r="H11" s="28"/>
      <c r="J11" s="24" t="n">
        <f aca="false">IF(D11="",99999,D11)</f>
        <v>99999</v>
      </c>
      <c r="K11" s="25" t="n">
        <f aca="false">IF(D11="",E$6,E11)</f>
        <v>0.085</v>
      </c>
    </row>
    <row r="12" customFormat="false" ht="15" hidden="false" customHeight="true" outlineLevel="0" collapsed="false">
      <c r="A12" s="4" t="s">
        <v>68</v>
      </c>
      <c r="B12" s="31" t="n">
        <f aca="false">ROUND(PMT('Loan Details'!$B$7/12,'Loan Details'!$B$8,-'Loan Details'!$B$6),0)</f>
        <v>26035</v>
      </c>
      <c r="D12" s="27"/>
      <c r="E12" s="30"/>
      <c r="G12" s="27"/>
      <c r="H12" s="28"/>
      <c r="J12" s="24" t="n">
        <f aca="false">IF(D12="",99999,D12)</f>
        <v>99999</v>
      </c>
      <c r="K12" s="25" t="n">
        <f aca="false">IF(D12="",E$6,E12)</f>
        <v>0.085</v>
      </c>
    </row>
    <row r="13" customFormat="false" ht="15" hidden="false" customHeight="true" outlineLevel="0" collapsed="false">
      <c r="D13" s="27"/>
      <c r="E13" s="30"/>
      <c r="G13" s="27"/>
      <c r="H13" s="28"/>
      <c r="J13" s="24" t="n">
        <f aca="false">IF(D13="",99999,D13)</f>
        <v>99999</v>
      </c>
      <c r="K13" s="25" t="n">
        <f aca="false">IF(D13="",E$6,E13)</f>
        <v>0.085</v>
      </c>
    </row>
    <row r="14" customFormat="false" ht="15" hidden="false" customHeight="true" outlineLevel="0" collapsed="false">
      <c r="A14" s="3" t="s">
        <v>69</v>
      </c>
      <c r="D14" s="27"/>
      <c r="E14" s="30"/>
      <c r="G14" s="27"/>
      <c r="H14" s="28"/>
      <c r="J14" s="24" t="n">
        <f aca="false">IF(D14="",99999,D14)</f>
        <v>99999</v>
      </c>
      <c r="K14" s="25" t="n">
        <f aca="false">IF(D14="",E$6,E14)</f>
        <v>0.085</v>
      </c>
    </row>
    <row r="15" customFormat="false" ht="15" hidden="false" customHeight="true" outlineLevel="0" collapsed="false">
      <c r="D15" s="3" t="s">
        <v>70</v>
      </c>
      <c r="G15" s="27"/>
      <c r="H15" s="28"/>
    </row>
    <row r="16" customFormat="false" ht="15" hidden="false" customHeight="true" outlineLevel="0" collapsed="false">
      <c r="G16" s="27"/>
      <c r="H16" s="28"/>
    </row>
    <row r="17" customFormat="false" ht="15" hidden="false" customHeight="true" outlineLevel="0" collapsed="false">
      <c r="G17" s="27"/>
      <c r="H17" s="28"/>
    </row>
    <row r="18" customFormat="false" ht="15" hidden="false" customHeight="true" outlineLevel="0" collapsed="false">
      <c r="G18" s="27"/>
      <c r="H18" s="28"/>
    </row>
    <row r="19" customFormat="false" ht="15" hidden="false" customHeight="true" outlineLevel="0" collapsed="false">
      <c r="G19" s="27"/>
      <c r="H19" s="28"/>
    </row>
    <row r="20" customFormat="false" ht="15" hidden="false" customHeight="true" outlineLevel="0" collapsed="false">
      <c r="G20" s="27"/>
      <c r="H20" s="28"/>
    </row>
  </sheetData>
  <dataValidations count="1">
    <dataValidation allowBlank="true" errorStyle="stop" operator="between" showDropDown="false" showErrorMessage="false" showInputMessage="false" sqref="B10" type="list">
      <formula1>"Keep EMI,change tenure,Keep tenure,change EMI"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&amp;L&amp;8 PB Lab · pblab.in/templates&amp;R&amp;8 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70AD47"/>
    <pageSetUpPr fitToPage="true"/>
  </sheetPr>
  <dimension ref="A1:J36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7"/>
    <col collapsed="false" customWidth="true" hidden="false" outlineLevel="0" max="2" min="2" style="1" width="12"/>
    <col collapsed="false" customWidth="true" hidden="false" outlineLevel="0" max="3" min="3" style="1" width="9"/>
    <col collapsed="false" customWidth="true" hidden="false" outlineLevel="0" max="4" min="4" style="1" width="14"/>
    <col collapsed="false" customWidth="true" hidden="false" outlineLevel="0" max="8" min="5" style="1" width="12"/>
    <col collapsed="false" customWidth="true" hidden="false" outlineLevel="0" max="9" min="9" style="1" width="14"/>
    <col collapsed="false" customWidth="true" hidden="false" outlineLevel="0" max="10" min="10" style="1" width="12"/>
  </cols>
  <sheetData>
    <row r="1" customFormat="false" ht="21.75" hidden="false" customHeight="true" outlineLevel="0" collapsed="false">
      <c r="A1" s="13" t="s">
        <v>71</v>
      </c>
      <c r="J1" s="14" t="s">
        <v>51</v>
      </c>
    </row>
    <row r="2" customFormat="false" ht="15" hidden="false" customHeight="true" outlineLevel="0" collapsed="false">
      <c r="A2" s="3" t="str">
        <f aca="false">'Loan Details'!$B$5</f>
        <v>Home loan – SBI</v>
      </c>
    </row>
    <row r="4" customFormat="false" ht="30" hidden="false" customHeight="true" outlineLevel="0" collapsed="false">
      <c r="A4" s="19" t="s">
        <v>72</v>
      </c>
      <c r="B4" s="20" t="s">
        <v>73</v>
      </c>
      <c r="C4" s="20" t="s">
        <v>74</v>
      </c>
      <c r="D4" s="20" t="s">
        <v>75</v>
      </c>
      <c r="E4" s="20" t="s">
        <v>76</v>
      </c>
      <c r="F4" s="20" t="s">
        <v>77</v>
      </c>
      <c r="G4" s="20" t="s">
        <v>78</v>
      </c>
      <c r="H4" s="20" t="s">
        <v>79</v>
      </c>
      <c r="I4" s="20" t="s">
        <v>80</v>
      </c>
      <c r="J4" s="20" t="s">
        <v>81</v>
      </c>
    </row>
    <row r="5" customFormat="false" ht="15" hidden="false" customHeight="true" outlineLevel="0" collapsed="false">
      <c r="A5" s="24" t="n">
        <f aca="false">1</f>
        <v>1</v>
      </c>
      <c r="B5" s="32" t="n">
        <f aca="false">EDATE('Loan Details'!$B$9,0)</f>
        <v>46147</v>
      </c>
      <c r="C5" s="25" t="n">
        <f aca="false">LOOKUP(A5,'Loan Details'!$J$6:$J$14,'Loan Details'!$K$6:$K$14)</f>
        <v>0.085</v>
      </c>
      <c r="D5" s="33" t="n">
        <f aca="false">'Loan Details'!$B$6</f>
        <v>3000000</v>
      </c>
      <c r="E5" s="33" t="n">
        <f aca="false">IF(D5&lt;=0,0,MIN(J5,D5+F5))</f>
        <v>26035</v>
      </c>
      <c r="F5" s="33" t="n">
        <f aca="false">IF(D5&lt;=0,0,ROUND(D5*C5/12,0))</f>
        <v>21250</v>
      </c>
      <c r="G5" s="33" t="n">
        <f aca="false">E5-F5</f>
        <v>4785</v>
      </c>
      <c r="H5" s="33" t="n">
        <f aca="false">IF(D5&lt;=0,0,MIN(SUMIF('Loan Details'!$G$6:$G$20,A5,'Loan Details'!$H$6:$H$20),D5-G5))</f>
        <v>0</v>
      </c>
      <c r="I5" s="33" t="n">
        <f aca="false">MAX(0,D5-G5-H5)</f>
        <v>2995215</v>
      </c>
      <c r="J5" s="33" t="n">
        <f aca="false">'Loan Details'!$B$12</f>
        <v>26035</v>
      </c>
    </row>
    <row r="6" customFormat="false" ht="15" hidden="false" customHeight="true" outlineLevel="0" collapsed="false">
      <c r="A6" s="24" t="n">
        <f aca="false">2</f>
        <v>2</v>
      </c>
      <c r="B6" s="32" t="n">
        <f aca="false">EDATE('Loan Details'!$B$9,1)</f>
        <v>46178</v>
      </c>
      <c r="C6" s="25" t="n">
        <f aca="false">LOOKUP(A6,'Loan Details'!$J$6:$J$14,'Loan Details'!$K$6:$K$14)</f>
        <v>0.085</v>
      </c>
      <c r="D6" s="33" t="n">
        <f aca="false">I5</f>
        <v>2995215</v>
      </c>
      <c r="E6" s="33" t="n">
        <f aca="false">IF(D6&lt;=0,0,MIN(J6,D6+F6))</f>
        <v>26035</v>
      </c>
      <c r="F6" s="33" t="n">
        <f aca="false">IF(D6&lt;=0,0,ROUND(D6*C6/12,0))</f>
        <v>21216</v>
      </c>
      <c r="G6" s="33" t="n">
        <f aca="false">E6-F6</f>
        <v>4819</v>
      </c>
      <c r="H6" s="33" t="n">
        <f aca="false">IF(D6&lt;=0,0,MIN(SUMIF('Loan Details'!$G$6:$G$20,A6,'Loan Details'!$H$6:$H$20),D6-G6))</f>
        <v>0</v>
      </c>
      <c r="I6" s="33" t="n">
        <f aca="false">MAX(0,D6-G6-H6)</f>
        <v>2990396</v>
      </c>
      <c r="J6" s="33" t="n">
        <f aca="false">IF(D6&lt;=0,0,IF(AND('Loan Details'!$B$10="Keep tenure, change EMI",OR(C6&lt;&gt;C5,H5&gt;0)),ROUND(PMT(C6/12,MAX(1,'Loan Details'!$B$8-A6+1),-D6),0),J5))</f>
        <v>26035</v>
      </c>
    </row>
    <row r="7" customFormat="false" ht="15" hidden="false" customHeight="true" outlineLevel="0" collapsed="false">
      <c r="A7" s="24" t="n">
        <f aca="false">3</f>
        <v>3</v>
      </c>
      <c r="B7" s="32" t="n">
        <f aca="false">EDATE('Loan Details'!$B$9,2)</f>
        <v>46208</v>
      </c>
      <c r="C7" s="25" t="n">
        <f aca="false">LOOKUP(A7,'Loan Details'!$J$6:$J$14,'Loan Details'!$K$6:$K$14)</f>
        <v>0.085</v>
      </c>
      <c r="D7" s="33" t="n">
        <f aca="false">I6</f>
        <v>2990396</v>
      </c>
      <c r="E7" s="33" t="n">
        <f aca="false">IF(D7&lt;=0,0,MIN(J7,D7+F7))</f>
        <v>26035</v>
      </c>
      <c r="F7" s="33" t="n">
        <f aca="false">IF(D7&lt;=0,0,ROUND(D7*C7/12,0))</f>
        <v>21182</v>
      </c>
      <c r="G7" s="33" t="n">
        <f aca="false">E7-F7</f>
        <v>4853</v>
      </c>
      <c r="H7" s="33" t="n">
        <f aca="false">IF(D7&lt;=0,0,MIN(SUMIF('Loan Details'!$G$6:$G$20,A7,'Loan Details'!$H$6:$H$20),D7-G7))</f>
        <v>0</v>
      </c>
      <c r="I7" s="33" t="n">
        <f aca="false">MAX(0,D7-G7-H7)</f>
        <v>2985543</v>
      </c>
      <c r="J7" s="33" t="n">
        <f aca="false">IF(D7&lt;=0,0,IF(AND('Loan Details'!$B$10="Keep tenure, change EMI",OR(C7&lt;&gt;C6,H6&gt;0)),ROUND(PMT(C7/12,MAX(1,'Loan Details'!$B$8-A7+1),-D7),0),J6))</f>
        <v>26035</v>
      </c>
    </row>
    <row r="8" customFormat="false" ht="15" hidden="false" customHeight="true" outlineLevel="0" collapsed="false">
      <c r="A8" s="24" t="n">
        <f aca="false">4</f>
        <v>4</v>
      </c>
      <c r="B8" s="32" t="n">
        <f aca="false">EDATE('Loan Details'!$B$9,3)</f>
        <v>46239</v>
      </c>
      <c r="C8" s="25" t="n">
        <f aca="false">LOOKUP(A8,'Loan Details'!$J$6:$J$14,'Loan Details'!$K$6:$K$14)</f>
        <v>0.085</v>
      </c>
      <c r="D8" s="33" t="n">
        <f aca="false">I7</f>
        <v>2985543</v>
      </c>
      <c r="E8" s="33" t="n">
        <f aca="false">IF(D8&lt;=0,0,MIN(J8,D8+F8))</f>
        <v>26035</v>
      </c>
      <c r="F8" s="33" t="n">
        <f aca="false">IF(D8&lt;=0,0,ROUND(D8*C8/12,0))</f>
        <v>21148</v>
      </c>
      <c r="G8" s="33" t="n">
        <f aca="false">E8-F8</f>
        <v>4887</v>
      </c>
      <c r="H8" s="33" t="n">
        <f aca="false">IF(D8&lt;=0,0,MIN(SUMIF('Loan Details'!$G$6:$G$20,A8,'Loan Details'!$H$6:$H$20),D8-G8))</f>
        <v>0</v>
      </c>
      <c r="I8" s="33" t="n">
        <f aca="false">MAX(0,D8-G8-H8)</f>
        <v>2980656</v>
      </c>
      <c r="J8" s="33" t="n">
        <f aca="false">IF(D8&lt;=0,0,IF(AND('Loan Details'!$B$10="Keep tenure, change EMI",OR(C8&lt;&gt;C7,H7&gt;0)),ROUND(PMT(C8/12,MAX(1,'Loan Details'!$B$8-A8+1),-D8),0),J7))</f>
        <v>26035</v>
      </c>
    </row>
    <row r="9" customFormat="false" ht="15" hidden="false" customHeight="true" outlineLevel="0" collapsed="false">
      <c r="A9" s="24" t="n">
        <f aca="false">5</f>
        <v>5</v>
      </c>
      <c r="B9" s="32" t="n">
        <f aca="false">EDATE('Loan Details'!$B$9,4)</f>
        <v>46270</v>
      </c>
      <c r="C9" s="25" t="n">
        <f aca="false">LOOKUP(A9,'Loan Details'!$J$6:$J$14,'Loan Details'!$K$6:$K$14)</f>
        <v>0.085</v>
      </c>
      <c r="D9" s="33" t="n">
        <f aca="false">I8</f>
        <v>2980656</v>
      </c>
      <c r="E9" s="33" t="n">
        <f aca="false">IF(D9&lt;=0,0,MIN(J9,D9+F9))</f>
        <v>26035</v>
      </c>
      <c r="F9" s="33" t="n">
        <f aca="false">IF(D9&lt;=0,0,ROUND(D9*C9/12,0))</f>
        <v>21113</v>
      </c>
      <c r="G9" s="33" t="n">
        <f aca="false">E9-F9</f>
        <v>4922</v>
      </c>
      <c r="H9" s="33" t="n">
        <f aca="false">IF(D9&lt;=0,0,MIN(SUMIF('Loan Details'!$G$6:$G$20,A9,'Loan Details'!$H$6:$H$20),D9-G9))</f>
        <v>0</v>
      </c>
      <c r="I9" s="33" t="n">
        <f aca="false">MAX(0,D9-G9-H9)</f>
        <v>2975734</v>
      </c>
      <c r="J9" s="33" t="n">
        <f aca="false">IF(D9&lt;=0,0,IF(AND('Loan Details'!$B$10="Keep tenure, change EMI",OR(C9&lt;&gt;C8,H8&gt;0)),ROUND(PMT(C9/12,MAX(1,'Loan Details'!$B$8-A9+1),-D9),0),J8))</f>
        <v>26035</v>
      </c>
    </row>
    <row r="10" customFormat="false" ht="15" hidden="false" customHeight="true" outlineLevel="0" collapsed="false">
      <c r="A10" s="24" t="n">
        <f aca="false">6</f>
        <v>6</v>
      </c>
      <c r="B10" s="32" t="n">
        <f aca="false">EDATE('Loan Details'!$B$9,5)</f>
        <v>46300</v>
      </c>
      <c r="C10" s="25" t="n">
        <f aca="false">LOOKUP(A10,'Loan Details'!$J$6:$J$14,'Loan Details'!$K$6:$K$14)</f>
        <v>0.085</v>
      </c>
      <c r="D10" s="33" t="n">
        <f aca="false">I9</f>
        <v>2975734</v>
      </c>
      <c r="E10" s="33" t="n">
        <f aca="false">IF(D10&lt;=0,0,MIN(J10,D10+F10))</f>
        <v>26035</v>
      </c>
      <c r="F10" s="33" t="n">
        <f aca="false">IF(D10&lt;=0,0,ROUND(D10*C10/12,0))</f>
        <v>21078</v>
      </c>
      <c r="G10" s="33" t="n">
        <f aca="false">E10-F10</f>
        <v>4957</v>
      </c>
      <c r="H10" s="33" t="n">
        <f aca="false">IF(D10&lt;=0,0,MIN(SUMIF('Loan Details'!$G$6:$G$20,A10,'Loan Details'!$H$6:$H$20),D10-G10))</f>
        <v>0</v>
      </c>
      <c r="I10" s="33" t="n">
        <f aca="false">MAX(0,D10-G10-H10)</f>
        <v>2970777</v>
      </c>
      <c r="J10" s="33" t="n">
        <f aca="false">IF(D10&lt;=0,0,IF(AND('Loan Details'!$B$10="Keep tenure, change EMI",OR(C10&lt;&gt;C9,H9&gt;0)),ROUND(PMT(C10/12,MAX(1,'Loan Details'!$B$8-A10+1),-D10),0),J9))</f>
        <v>26035</v>
      </c>
    </row>
    <row r="11" customFormat="false" ht="15" hidden="false" customHeight="true" outlineLevel="0" collapsed="false">
      <c r="A11" s="24" t="n">
        <f aca="false">7</f>
        <v>7</v>
      </c>
      <c r="B11" s="32" t="n">
        <f aca="false">EDATE('Loan Details'!$B$9,6)</f>
        <v>46331</v>
      </c>
      <c r="C11" s="25" t="n">
        <f aca="false">LOOKUP(A11,'Loan Details'!$J$6:$J$14,'Loan Details'!$K$6:$K$14)</f>
        <v>0.085</v>
      </c>
      <c r="D11" s="33" t="n">
        <f aca="false">I10</f>
        <v>2970777</v>
      </c>
      <c r="E11" s="33" t="n">
        <f aca="false">IF(D11&lt;=0,0,MIN(J11,D11+F11))</f>
        <v>26035</v>
      </c>
      <c r="F11" s="33" t="n">
        <f aca="false">IF(D11&lt;=0,0,ROUND(D11*C11/12,0))</f>
        <v>21043</v>
      </c>
      <c r="G11" s="33" t="n">
        <f aca="false">E11-F11</f>
        <v>4992</v>
      </c>
      <c r="H11" s="33" t="n">
        <f aca="false">IF(D11&lt;=0,0,MIN(SUMIF('Loan Details'!$G$6:$G$20,A11,'Loan Details'!$H$6:$H$20),D11-G11))</f>
        <v>0</v>
      </c>
      <c r="I11" s="33" t="n">
        <f aca="false">MAX(0,D11-G11-H11)</f>
        <v>2965785</v>
      </c>
      <c r="J11" s="33" t="n">
        <f aca="false">IF(D11&lt;=0,0,IF(AND('Loan Details'!$B$10="Keep tenure, change EMI",OR(C11&lt;&gt;C10,H10&gt;0)),ROUND(PMT(C11/12,MAX(1,'Loan Details'!$B$8-A11+1),-D11),0),J10))</f>
        <v>26035</v>
      </c>
    </row>
    <row r="12" customFormat="false" ht="15" hidden="false" customHeight="true" outlineLevel="0" collapsed="false">
      <c r="A12" s="24" t="n">
        <f aca="false">8</f>
        <v>8</v>
      </c>
      <c r="B12" s="32" t="n">
        <f aca="false">EDATE('Loan Details'!$B$9,7)</f>
        <v>46361</v>
      </c>
      <c r="C12" s="25" t="n">
        <f aca="false">LOOKUP(A12,'Loan Details'!$J$6:$J$14,'Loan Details'!$K$6:$K$14)</f>
        <v>0.085</v>
      </c>
      <c r="D12" s="33" t="n">
        <f aca="false">I11</f>
        <v>2965785</v>
      </c>
      <c r="E12" s="33" t="n">
        <f aca="false">IF(D12&lt;=0,0,MIN(J12,D12+F12))</f>
        <v>26035</v>
      </c>
      <c r="F12" s="33" t="n">
        <f aca="false">IF(D12&lt;=0,0,ROUND(D12*C12/12,0))</f>
        <v>21008</v>
      </c>
      <c r="G12" s="33" t="n">
        <f aca="false">E12-F12</f>
        <v>5027</v>
      </c>
      <c r="H12" s="33" t="n">
        <f aca="false">IF(D12&lt;=0,0,MIN(SUMIF('Loan Details'!$G$6:$G$20,A12,'Loan Details'!$H$6:$H$20),D12-G12))</f>
        <v>0</v>
      </c>
      <c r="I12" s="33" t="n">
        <f aca="false">MAX(0,D12-G12-H12)</f>
        <v>2960758</v>
      </c>
      <c r="J12" s="33" t="n">
        <f aca="false">IF(D12&lt;=0,0,IF(AND('Loan Details'!$B$10="Keep tenure, change EMI",OR(C12&lt;&gt;C11,H11&gt;0)),ROUND(PMT(C12/12,MAX(1,'Loan Details'!$B$8-A12+1),-D12),0),J11))</f>
        <v>26035</v>
      </c>
    </row>
    <row r="13" customFormat="false" ht="15" hidden="false" customHeight="true" outlineLevel="0" collapsed="false">
      <c r="A13" s="24" t="n">
        <f aca="false">9</f>
        <v>9</v>
      </c>
      <c r="B13" s="32" t="n">
        <f aca="false">EDATE('Loan Details'!$B$9,8)</f>
        <v>46392</v>
      </c>
      <c r="C13" s="25" t="n">
        <f aca="false">LOOKUP(A13,'Loan Details'!$J$6:$J$14,'Loan Details'!$K$6:$K$14)</f>
        <v>0.085</v>
      </c>
      <c r="D13" s="33" t="n">
        <f aca="false">I12</f>
        <v>2960758</v>
      </c>
      <c r="E13" s="33" t="n">
        <f aca="false">IF(D13&lt;=0,0,MIN(J13,D13+F13))</f>
        <v>26035</v>
      </c>
      <c r="F13" s="33" t="n">
        <f aca="false">IF(D13&lt;=0,0,ROUND(D13*C13/12,0))</f>
        <v>20972</v>
      </c>
      <c r="G13" s="33" t="n">
        <f aca="false">E13-F13</f>
        <v>5063</v>
      </c>
      <c r="H13" s="33" t="n">
        <f aca="false">IF(D13&lt;=0,0,MIN(SUMIF('Loan Details'!$G$6:$G$20,A13,'Loan Details'!$H$6:$H$20),D13-G13))</f>
        <v>0</v>
      </c>
      <c r="I13" s="33" t="n">
        <f aca="false">MAX(0,D13-G13-H13)</f>
        <v>2955695</v>
      </c>
      <c r="J13" s="33" t="n">
        <f aca="false">IF(D13&lt;=0,0,IF(AND('Loan Details'!$B$10="Keep tenure, change EMI",OR(C13&lt;&gt;C12,H12&gt;0)),ROUND(PMT(C13/12,MAX(1,'Loan Details'!$B$8-A13+1),-D13),0),J12))</f>
        <v>26035</v>
      </c>
    </row>
    <row r="14" customFormat="false" ht="15" hidden="false" customHeight="true" outlineLevel="0" collapsed="false">
      <c r="A14" s="24" t="n">
        <f aca="false">10</f>
        <v>10</v>
      </c>
      <c r="B14" s="32" t="n">
        <f aca="false">EDATE('Loan Details'!$B$9,9)</f>
        <v>46423</v>
      </c>
      <c r="C14" s="25" t="n">
        <f aca="false">LOOKUP(A14,'Loan Details'!$J$6:$J$14,'Loan Details'!$K$6:$K$14)</f>
        <v>0.085</v>
      </c>
      <c r="D14" s="33" t="n">
        <f aca="false">I13</f>
        <v>2955695</v>
      </c>
      <c r="E14" s="33" t="n">
        <f aca="false">IF(D14&lt;=0,0,MIN(J14,D14+F14))</f>
        <v>26035</v>
      </c>
      <c r="F14" s="33" t="n">
        <f aca="false">IF(D14&lt;=0,0,ROUND(D14*C14/12,0))</f>
        <v>20936</v>
      </c>
      <c r="G14" s="33" t="n">
        <f aca="false">E14-F14</f>
        <v>5099</v>
      </c>
      <c r="H14" s="33" t="n">
        <f aca="false">IF(D14&lt;=0,0,MIN(SUMIF('Loan Details'!$G$6:$G$20,A14,'Loan Details'!$H$6:$H$20),D14-G14))</f>
        <v>0</v>
      </c>
      <c r="I14" s="33" t="n">
        <f aca="false">MAX(0,D14-G14-H14)</f>
        <v>2950596</v>
      </c>
      <c r="J14" s="33" t="n">
        <f aca="false">IF(D14&lt;=0,0,IF(AND('Loan Details'!$B$10="Keep tenure, change EMI",OR(C14&lt;&gt;C13,H13&gt;0)),ROUND(PMT(C14/12,MAX(1,'Loan Details'!$B$8-A14+1),-D14),0),J13))</f>
        <v>26035</v>
      </c>
    </row>
    <row r="15" customFormat="false" ht="15" hidden="false" customHeight="true" outlineLevel="0" collapsed="false">
      <c r="A15" s="24" t="n">
        <f aca="false">11</f>
        <v>11</v>
      </c>
      <c r="B15" s="32" t="n">
        <f aca="false">EDATE('Loan Details'!$B$9,10)</f>
        <v>46451</v>
      </c>
      <c r="C15" s="25" t="n">
        <f aca="false">LOOKUP(A15,'Loan Details'!$J$6:$J$14,'Loan Details'!$K$6:$K$14)</f>
        <v>0.085</v>
      </c>
      <c r="D15" s="33" t="n">
        <f aca="false">I14</f>
        <v>2950596</v>
      </c>
      <c r="E15" s="33" t="n">
        <f aca="false">IF(D15&lt;=0,0,MIN(J15,D15+F15))</f>
        <v>26035</v>
      </c>
      <c r="F15" s="33" t="n">
        <f aca="false">IF(D15&lt;=0,0,ROUND(D15*C15/12,0))</f>
        <v>20900</v>
      </c>
      <c r="G15" s="33" t="n">
        <f aca="false">E15-F15</f>
        <v>5135</v>
      </c>
      <c r="H15" s="33" t="n">
        <f aca="false">IF(D15&lt;=0,0,MIN(SUMIF('Loan Details'!$G$6:$G$20,A15,'Loan Details'!$H$6:$H$20),D15-G15))</f>
        <v>0</v>
      </c>
      <c r="I15" s="33" t="n">
        <f aca="false">MAX(0,D15-G15-H15)</f>
        <v>2945461</v>
      </c>
      <c r="J15" s="33" t="n">
        <f aca="false">IF(D15&lt;=0,0,IF(AND('Loan Details'!$B$10="Keep tenure, change EMI",OR(C15&lt;&gt;C14,H14&gt;0)),ROUND(PMT(C15/12,MAX(1,'Loan Details'!$B$8-A15+1),-D15),0),J14))</f>
        <v>26035</v>
      </c>
    </row>
    <row r="16" customFormat="false" ht="15" hidden="false" customHeight="true" outlineLevel="0" collapsed="false">
      <c r="A16" s="24" t="n">
        <f aca="false">12</f>
        <v>12</v>
      </c>
      <c r="B16" s="32" t="n">
        <f aca="false">EDATE('Loan Details'!$B$9,11)</f>
        <v>46482</v>
      </c>
      <c r="C16" s="25" t="n">
        <f aca="false">LOOKUP(A16,'Loan Details'!$J$6:$J$14,'Loan Details'!$K$6:$K$14)</f>
        <v>0.085</v>
      </c>
      <c r="D16" s="33" t="n">
        <f aca="false">I15</f>
        <v>2945461</v>
      </c>
      <c r="E16" s="33" t="n">
        <f aca="false">IF(D16&lt;=0,0,MIN(J16,D16+F16))</f>
        <v>26035</v>
      </c>
      <c r="F16" s="33" t="n">
        <f aca="false">IF(D16&lt;=0,0,ROUND(D16*C16/12,0))</f>
        <v>20864</v>
      </c>
      <c r="G16" s="33" t="n">
        <f aca="false">E16-F16</f>
        <v>5171</v>
      </c>
      <c r="H16" s="33" t="n">
        <f aca="false">IF(D16&lt;=0,0,MIN(SUMIF('Loan Details'!$G$6:$G$20,A16,'Loan Details'!$H$6:$H$20),D16-G16))</f>
        <v>0</v>
      </c>
      <c r="I16" s="33" t="n">
        <f aca="false">MAX(0,D16-G16-H16)</f>
        <v>2940290</v>
      </c>
      <c r="J16" s="33" t="n">
        <f aca="false">IF(D16&lt;=0,0,IF(AND('Loan Details'!$B$10="Keep tenure, change EMI",OR(C16&lt;&gt;C15,H15&gt;0)),ROUND(PMT(C16/12,MAX(1,'Loan Details'!$B$8-A16+1),-D16),0),J15))</f>
        <v>26035</v>
      </c>
    </row>
    <row r="17" customFormat="false" ht="15" hidden="false" customHeight="true" outlineLevel="0" collapsed="false">
      <c r="A17" s="24" t="n">
        <f aca="false">13</f>
        <v>13</v>
      </c>
      <c r="B17" s="32" t="n">
        <f aca="false">EDATE('Loan Details'!$B$9,12)</f>
        <v>46512</v>
      </c>
      <c r="C17" s="25" t="n">
        <f aca="false">LOOKUP(A17,'Loan Details'!$J$6:$J$14,'Loan Details'!$K$6:$K$14)</f>
        <v>0.085</v>
      </c>
      <c r="D17" s="33" t="n">
        <f aca="false">I16</f>
        <v>2940290</v>
      </c>
      <c r="E17" s="33" t="n">
        <f aca="false">IF(D17&lt;=0,0,MIN(J17,D17+F17))</f>
        <v>26035</v>
      </c>
      <c r="F17" s="33" t="n">
        <f aca="false">IF(D17&lt;=0,0,ROUND(D17*C17/12,0))</f>
        <v>20827</v>
      </c>
      <c r="G17" s="33" t="n">
        <f aca="false">E17-F17</f>
        <v>5208</v>
      </c>
      <c r="H17" s="33" t="n">
        <f aca="false">IF(D17&lt;=0,0,MIN(SUMIF('Loan Details'!$G$6:$G$20,A17,'Loan Details'!$H$6:$H$20),D17-G17))</f>
        <v>200000</v>
      </c>
      <c r="I17" s="33" t="n">
        <f aca="false">MAX(0,D17-G17-H17)</f>
        <v>2735082</v>
      </c>
      <c r="J17" s="33" t="n">
        <f aca="false">IF(D17&lt;=0,0,IF(AND('Loan Details'!$B$10="Keep tenure, change EMI",OR(C17&lt;&gt;C16,H16&gt;0)),ROUND(PMT(C17/12,MAX(1,'Loan Details'!$B$8-A17+1),-D17),0),J16))</f>
        <v>26035</v>
      </c>
    </row>
    <row r="18" customFormat="false" ht="15" hidden="false" customHeight="true" outlineLevel="0" collapsed="false">
      <c r="A18" s="24" t="n">
        <f aca="false">14</f>
        <v>14</v>
      </c>
      <c r="B18" s="32" t="n">
        <f aca="false">EDATE('Loan Details'!$B$9,13)</f>
        <v>46543</v>
      </c>
      <c r="C18" s="25" t="n">
        <f aca="false">LOOKUP(A18,'Loan Details'!$J$6:$J$14,'Loan Details'!$K$6:$K$14)</f>
        <v>0.085</v>
      </c>
      <c r="D18" s="33" t="n">
        <f aca="false">I17</f>
        <v>2735082</v>
      </c>
      <c r="E18" s="33" t="n">
        <f aca="false">IF(D18&lt;=0,0,MIN(J18,D18+F18))</f>
        <v>26035</v>
      </c>
      <c r="F18" s="33" t="n">
        <f aca="false">IF(D18&lt;=0,0,ROUND(D18*C18/12,0))</f>
        <v>19373</v>
      </c>
      <c r="G18" s="33" t="n">
        <f aca="false">E18-F18</f>
        <v>6662</v>
      </c>
      <c r="H18" s="33" t="n">
        <f aca="false">IF(D18&lt;=0,0,MIN(SUMIF('Loan Details'!$G$6:$G$20,A18,'Loan Details'!$H$6:$H$20),D18-G18))</f>
        <v>0</v>
      </c>
      <c r="I18" s="33" t="n">
        <f aca="false">MAX(0,D18-G18-H18)</f>
        <v>2728420</v>
      </c>
      <c r="J18" s="33" t="n">
        <f aca="false">IF(D18&lt;=0,0,IF(AND('Loan Details'!$B$10="Keep tenure, change EMI",OR(C18&lt;&gt;C17,H17&gt;0)),ROUND(PMT(C18/12,MAX(1,'Loan Details'!$B$8-A18+1),-D18),0),J17))</f>
        <v>26035</v>
      </c>
    </row>
    <row r="19" customFormat="false" ht="15" hidden="false" customHeight="true" outlineLevel="0" collapsed="false">
      <c r="A19" s="24" t="n">
        <f aca="false">15</f>
        <v>15</v>
      </c>
      <c r="B19" s="32" t="n">
        <f aca="false">EDATE('Loan Details'!$B$9,14)</f>
        <v>46573</v>
      </c>
      <c r="C19" s="25" t="n">
        <f aca="false">LOOKUP(A19,'Loan Details'!$J$6:$J$14,'Loan Details'!$K$6:$K$14)</f>
        <v>0.085</v>
      </c>
      <c r="D19" s="33" t="n">
        <f aca="false">I18</f>
        <v>2728420</v>
      </c>
      <c r="E19" s="33" t="n">
        <f aca="false">IF(D19&lt;=0,0,MIN(J19,D19+F19))</f>
        <v>26035</v>
      </c>
      <c r="F19" s="33" t="n">
        <f aca="false">IF(D19&lt;=0,0,ROUND(D19*C19/12,0))</f>
        <v>19326</v>
      </c>
      <c r="G19" s="33" t="n">
        <f aca="false">E19-F19</f>
        <v>6709</v>
      </c>
      <c r="H19" s="33" t="n">
        <f aca="false">IF(D19&lt;=0,0,MIN(SUMIF('Loan Details'!$G$6:$G$20,A19,'Loan Details'!$H$6:$H$20),D19-G19))</f>
        <v>0</v>
      </c>
      <c r="I19" s="33" t="n">
        <f aca="false">MAX(0,D19-G19-H19)</f>
        <v>2721711</v>
      </c>
      <c r="J19" s="33" t="n">
        <f aca="false">IF(D19&lt;=0,0,IF(AND('Loan Details'!$B$10="Keep tenure, change EMI",OR(C19&lt;&gt;C18,H18&gt;0)),ROUND(PMT(C19/12,MAX(1,'Loan Details'!$B$8-A19+1),-D19),0),J18))</f>
        <v>26035</v>
      </c>
    </row>
    <row r="20" customFormat="false" ht="15" hidden="false" customHeight="true" outlineLevel="0" collapsed="false">
      <c r="A20" s="24" t="n">
        <f aca="false">16</f>
        <v>16</v>
      </c>
      <c r="B20" s="32" t="n">
        <f aca="false">EDATE('Loan Details'!$B$9,15)</f>
        <v>46604</v>
      </c>
      <c r="C20" s="25" t="n">
        <f aca="false">LOOKUP(A20,'Loan Details'!$J$6:$J$14,'Loan Details'!$K$6:$K$14)</f>
        <v>0.085</v>
      </c>
      <c r="D20" s="33" t="n">
        <f aca="false">I19</f>
        <v>2721711</v>
      </c>
      <c r="E20" s="33" t="n">
        <f aca="false">IF(D20&lt;=0,0,MIN(J20,D20+F20))</f>
        <v>26035</v>
      </c>
      <c r="F20" s="33" t="n">
        <f aca="false">IF(D20&lt;=0,0,ROUND(D20*C20/12,0))</f>
        <v>19279</v>
      </c>
      <c r="G20" s="33" t="n">
        <f aca="false">E20-F20</f>
        <v>6756</v>
      </c>
      <c r="H20" s="33" t="n">
        <f aca="false">IF(D20&lt;=0,0,MIN(SUMIF('Loan Details'!$G$6:$G$20,A20,'Loan Details'!$H$6:$H$20),D20-G20))</f>
        <v>0</v>
      </c>
      <c r="I20" s="33" t="n">
        <f aca="false">MAX(0,D20-G20-H20)</f>
        <v>2714955</v>
      </c>
      <c r="J20" s="33" t="n">
        <f aca="false">IF(D20&lt;=0,0,IF(AND('Loan Details'!$B$10="Keep tenure, change EMI",OR(C20&lt;&gt;C19,H19&gt;0)),ROUND(PMT(C20/12,MAX(1,'Loan Details'!$B$8-A20+1),-D20),0),J19))</f>
        <v>26035</v>
      </c>
    </row>
    <row r="21" customFormat="false" ht="15" hidden="false" customHeight="true" outlineLevel="0" collapsed="false">
      <c r="A21" s="24" t="n">
        <f aca="false">17</f>
        <v>17</v>
      </c>
      <c r="B21" s="32" t="n">
        <f aca="false">EDATE('Loan Details'!$B$9,16)</f>
        <v>46635</v>
      </c>
      <c r="C21" s="25" t="n">
        <f aca="false">LOOKUP(A21,'Loan Details'!$J$6:$J$14,'Loan Details'!$K$6:$K$14)</f>
        <v>0.085</v>
      </c>
      <c r="D21" s="33" t="n">
        <f aca="false">I20</f>
        <v>2714955</v>
      </c>
      <c r="E21" s="33" t="n">
        <f aca="false">IF(D21&lt;=0,0,MIN(J21,D21+F21))</f>
        <v>26035</v>
      </c>
      <c r="F21" s="33" t="n">
        <f aca="false">IF(D21&lt;=0,0,ROUND(D21*C21/12,0))</f>
        <v>19231</v>
      </c>
      <c r="G21" s="33" t="n">
        <f aca="false">E21-F21</f>
        <v>6804</v>
      </c>
      <c r="H21" s="33" t="n">
        <f aca="false">IF(D21&lt;=0,0,MIN(SUMIF('Loan Details'!$G$6:$G$20,A21,'Loan Details'!$H$6:$H$20),D21-G21))</f>
        <v>0</v>
      </c>
      <c r="I21" s="33" t="n">
        <f aca="false">MAX(0,D21-G21-H21)</f>
        <v>2708151</v>
      </c>
      <c r="J21" s="33" t="n">
        <f aca="false">IF(D21&lt;=0,0,IF(AND('Loan Details'!$B$10="Keep tenure, change EMI",OR(C21&lt;&gt;C20,H20&gt;0)),ROUND(PMT(C21/12,MAX(1,'Loan Details'!$B$8-A21+1),-D21),0),J20))</f>
        <v>26035</v>
      </c>
    </row>
    <row r="22" customFormat="false" ht="15" hidden="false" customHeight="true" outlineLevel="0" collapsed="false">
      <c r="A22" s="24" t="n">
        <f aca="false">18</f>
        <v>18</v>
      </c>
      <c r="B22" s="32" t="n">
        <f aca="false">EDATE('Loan Details'!$B$9,17)</f>
        <v>46665</v>
      </c>
      <c r="C22" s="25" t="n">
        <f aca="false">LOOKUP(A22,'Loan Details'!$J$6:$J$14,'Loan Details'!$K$6:$K$14)</f>
        <v>0.085</v>
      </c>
      <c r="D22" s="33" t="n">
        <f aca="false">I21</f>
        <v>2708151</v>
      </c>
      <c r="E22" s="33" t="n">
        <f aca="false">IF(D22&lt;=0,0,MIN(J22,D22+F22))</f>
        <v>26035</v>
      </c>
      <c r="F22" s="33" t="n">
        <f aca="false">IF(D22&lt;=0,0,ROUND(D22*C22/12,0))</f>
        <v>19183</v>
      </c>
      <c r="G22" s="33" t="n">
        <f aca="false">E22-F22</f>
        <v>6852</v>
      </c>
      <c r="H22" s="33" t="n">
        <f aca="false">IF(D22&lt;=0,0,MIN(SUMIF('Loan Details'!$G$6:$G$20,A22,'Loan Details'!$H$6:$H$20),D22-G22))</f>
        <v>0</v>
      </c>
      <c r="I22" s="33" t="n">
        <f aca="false">MAX(0,D22-G22-H22)</f>
        <v>2701299</v>
      </c>
      <c r="J22" s="33" t="n">
        <f aca="false">IF(D22&lt;=0,0,IF(AND('Loan Details'!$B$10="Keep tenure, change EMI",OR(C22&lt;&gt;C21,H21&gt;0)),ROUND(PMT(C22/12,MAX(1,'Loan Details'!$B$8-A22+1),-D22),0),J21))</f>
        <v>26035</v>
      </c>
    </row>
    <row r="23" customFormat="false" ht="15" hidden="false" customHeight="true" outlineLevel="0" collapsed="false">
      <c r="A23" s="24" t="n">
        <f aca="false">19</f>
        <v>19</v>
      </c>
      <c r="B23" s="32" t="n">
        <f aca="false">EDATE('Loan Details'!$B$9,18)</f>
        <v>46696</v>
      </c>
      <c r="C23" s="25" t="n">
        <f aca="false">LOOKUP(A23,'Loan Details'!$J$6:$J$14,'Loan Details'!$K$6:$K$14)</f>
        <v>0.085</v>
      </c>
      <c r="D23" s="33" t="n">
        <f aca="false">I22</f>
        <v>2701299</v>
      </c>
      <c r="E23" s="33" t="n">
        <f aca="false">IF(D23&lt;=0,0,MIN(J23,D23+F23))</f>
        <v>26035</v>
      </c>
      <c r="F23" s="33" t="n">
        <f aca="false">IF(D23&lt;=0,0,ROUND(D23*C23/12,0))</f>
        <v>19134</v>
      </c>
      <c r="G23" s="33" t="n">
        <f aca="false">E23-F23</f>
        <v>6901</v>
      </c>
      <c r="H23" s="33" t="n">
        <f aca="false">IF(D23&lt;=0,0,MIN(SUMIF('Loan Details'!$G$6:$G$20,A23,'Loan Details'!$H$6:$H$20),D23-G23))</f>
        <v>0</v>
      </c>
      <c r="I23" s="33" t="n">
        <f aca="false">MAX(0,D23-G23-H23)</f>
        <v>2694398</v>
      </c>
      <c r="J23" s="33" t="n">
        <f aca="false">IF(D23&lt;=0,0,IF(AND('Loan Details'!$B$10="Keep tenure, change EMI",OR(C23&lt;&gt;C22,H22&gt;0)),ROUND(PMT(C23/12,MAX(1,'Loan Details'!$B$8-A23+1),-D23),0),J22))</f>
        <v>26035</v>
      </c>
    </row>
    <row r="24" customFormat="false" ht="15" hidden="false" customHeight="true" outlineLevel="0" collapsed="false">
      <c r="A24" s="24" t="n">
        <f aca="false">20</f>
        <v>20</v>
      </c>
      <c r="B24" s="32" t="n">
        <f aca="false">EDATE('Loan Details'!$B$9,19)</f>
        <v>46726</v>
      </c>
      <c r="C24" s="25" t="n">
        <f aca="false">LOOKUP(A24,'Loan Details'!$J$6:$J$14,'Loan Details'!$K$6:$K$14)</f>
        <v>0.085</v>
      </c>
      <c r="D24" s="33" t="n">
        <f aca="false">I23</f>
        <v>2694398</v>
      </c>
      <c r="E24" s="33" t="n">
        <f aca="false">IF(D24&lt;=0,0,MIN(J24,D24+F24))</f>
        <v>26035</v>
      </c>
      <c r="F24" s="33" t="n">
        <f aca="false">IF(D24&lt;=0,0,ROUND(D24*C24/12,0))</f>
        <v>19085</v>
      </c>
      <c r="G24" s="33" t="n">
        <f aca="false">E24-F24</f>
        <v>6950</v>
      </c>
      <c r="H24" s="33" t="n">
        <f aca="false">IF(D24&lt;=0,0,MIN(SUMIF('Loan Details'!$G$6:$G$20,A24,'Loan Details'!$H$6:$H$20),D24-G24))</f>
        <v>0</v>
      </c>
      <c r="I24" s="33" t="n">
        <f aca="false">MAX(0,D24-G24-H24)</f>
        <v>2687448</v>
      </c>
      <c r="J24" s="33" t="n">
        <f aca="false">IF(D24&lt;=0,0,IF(AND('Loan Details'!$B$10="Keep tenure, change EMI",OR(C24&lt;&gt;C23,H23&gt;0)),ROUND(PMT(C24/12,MAX(1,'Loan Details'!$B$8-A24+1),-D24),0),J23))</f>
        <v>26035</v>
      </c>
    </row>
    <row r="25" customFormat="false" ht="15" hidden="false" customHeight="true" outlineLevel="0" collapsed="false">
      <c r="A25" s="24" t="n">
        <f aca="false">21</f>
        <v>21</v>
      </c>
      <c r="B25" s="32" t="n">
        <f aca="false">EDATE('Loan Details'!$B$9,20)</f>
        <v>46757</v>
      </c>
      <c r="C25" s="25" t="n">
        <f aca="false">LOOKUP(A25,'Loan Details'!$J$6:$J$14,'Loan Details'!$K$6:$K$14)</f>
        <v>0.085</v>
      </c>
      <c r="D25" s="33" t="n">
        <f aca="false">I24</f>
        <v>2687448</v>
      </c>
      <c r="E25" s="33" t="n">
        <f aca="false">IF(D25&lt;=0,0,MIN(J25,D25+F25))</f>
        <v>26035</v>
      </c>
      <c r="F25" s="33" t="n">
        <f aca="false">IF(D25&lt;=0,0,ROUND(D25*C25/12,0))</f>
        <v>19036</v>
      </c>
      <c r="G25" s="33" t="n">
        <f aca="false">E25-F25</f>
        <v>6999</v>
      </c>
      <c r="H25" s="33" t="n">
        <f aca="false">IF(D25&lt;=0,0,MIN(SUMIF('Loan Details'!$G$6:$G$20,A25,'Loan Details'!$H$6:$H$20),D25-G25))</f>
        <v>0</v>
      </c>
      <c r="I25" s="33" t="n">
        <f aca="false">MAX(0,D25-G25-H25)</f>
        <v>2680449</v>
      </c>
      <c r="J25" s="33" t="n">
        <f aca="false">IF(D25&lt;=0,0,IF(AND('Loan Details'!$B$10="Keep tenure, change EMI",OR(C25&lt;&gt;C24,H24&gt;0)),ROUND(PMT(C25/12,MAX(1,'Loan Details'!$B$8-A25+1),-D25),0),J24))</f>
        <v>26035</v>
      </c>
    </row>
    <row r="26" customFormat="false" ht="15" hidden="false" customHeight="true" outlineLevel="0" collapsed="false">
      <c r="A26" s="24" t="n">
        <f aca="false">22</f>
        <v>22</v>
      </c>
      <c r="B26" s="32" t="n">
        <f aca="false">EDATE('Loan Details'!$B$9,21)</f>
        <v>46788</v>
      </c>
      <c r="C26" s="25" t="n">
        <f aca="false">LOOKUP(A26,'Loan Details'!$J$6:$J$14,'Loan Details'!$K$6:$K$14)</f>
        <v>0.085</v>
      </c>
      <c r="D26" s="33" t="n">
        <f aca="false">I25</f>
        <v>2680449</v>
      </c>
      <c r="E26" s="33" t="n">
        <f aca="false">IF(D26&lt;=0,0,MIN(J26,D26+F26))</f>
        <v>26035</v>
      </c>
      <c r="F26" s="33" t="n">
        <f aca="false">IF(D26&lt;=0,0,ROUND(D26*C26/12,0))</f>
        <v>18987</v>
      </c>
      <c r="G26" s="33" t="n">
        <f aca="false">E26-F26</f>
        <v>7048</v>
      </c>
      <c r="H26" s="33" t="n">
        <f aca="false">IF(D26&lt;=0,0,MIN(SUMIF('Loan Details'!$G$6:$G$20,A26,'Loan Details'!$H$6:$H$20),D26-G26))</f>
        <v>0</v>
      </c>
      <c r="I26" s="33" t="n">
        <f aca="false">MAX(0,D26-G26-H26)</f>
        <v>2673401</v>
      </c>
      <c r="J26" s="33" t="n">
        <f aca="false">IF(D26&lt;=0,0,IF(AND('Loan Details'!$B$10="Keep tenure, change EMI",OR(C26&lt;&gt;C25,H25&gt;0)),ROUND(PMT(C26/12,MAX(1,'Loan Details'!$B$8-A26+1),-D26),0),J25))</f>
        <v>26035</v>
      </c>
    </row>
    <row r="27" customFormat="false" ht="15" hidden="false" customHeight="true" outlineLevel="0" collapsed="false">
      <c r="A27" s="24" t="n">
        <f aca="false">23</f>
        <v>23</v>
      </c>
      <c r="B27" s="32" t="n">
        <f aca="false">EDATE('Loan Details'!$B$9,22)</f>
        <v>46817</v>
      </c>
      <c r="C27" s="25" t="n">
        <f aca="false">LOOKUP(A27,'Loan Details'!$J$6:$J$14,'Loan Details'!$K$6:$K$14)</f>
        <v>0.085</v>
      </c>
      <c r="D27" s="33" t="n">
        <f aca="false">I26</f>
        <v>2673401</v>
      </c>
      <c r="E27" s="33" t="n">
        <f aca="false">IF(D27&lt;=0,0,MIN(J27,D27+F27))</f>
        <v>26035</v>
      </c>
      <c r="F27" s="33" t="n">
        <f aca="false">IF(D27&lt;=0,0,ROUND(D27*C27/12,0))</f>
        <v>18937</v>
      </c>
      <c r="G27" s="33" t="n">
        <f aca="false">E27-F27</f>
        <v>7098</v>
      </c>
      <c r="H27" s="33" t="n">
        <f aca="false">IF(D27&lt;=0,0,MIN(SUMIF('Loan Details'!$G$6:$G$20,A27,'Loan Details'!$H$6:$H$20),D27-G27))</f>
        <v>0</v>
      </c>
      <c r="I27" s="33" t="n">
        <f aca="false">MAX(0,D27-G27-H27)</f>
        <v>2666303</v>
      </c>
      <c r="J27" s="33" t="n">
        <f aca="false">IF(D27&lt;=0,0,IF(AND('Loan Details'!$B$10="Keep tenure, change EMI",OR(C27&lt;&gt;C26,H26&gt;0)),ROUND(PMT(C27/12,MAX(1,'Loan Details'!$B$8-A27+1),-D27),0),J26))</f>
        <v>26035</v>
      </c>
    </row>
    <row r="28" customFormat="false" ht="15" hidden="false" customHeight="true" outlineLevel="0" collapsed="false">
      <c r="A28" s="24" t="n">
        <f aca="false">24</f>
        <v>24</v>
      </c>
      <c r="B28" s="32" t="n">
        <f aca="false">EDATE('Loan Details'!$B$9,23)</f>
        <v>46848</v>
      </c>
      <c r="C28" s="25" t="n">
        <f aca="false">LOOKUP(A28,'Loan Details'!$J$6:$J$14,'Loan Details'!$K$6:$K$14)</f>
        <v>0.085</v>
      </c>
      <c r="D28" s="33" t="n">
        <f aca="false">I27</f>
        <v>2666303</v>
      </c>
      <c r="E28" s="33" t="n">
        <f aca="false">IF(D28&lt;=0,0,MIN(J28,D28+F28))</f>
        <v>26035</v>
      </c>
      <c r="F28" s="33" t="n">
        <f aca="false">IF(D28&lt;=0,0,ROUND(D28*C28/12,0))</f>
        <v>18886</v>
      </c>
      <c r="G28" s="33" t="n">
        <f aca="false">E28-F28</f>
        <v>7149</v>
      </c>
      <c r="H28" s="33" t="n">
        <f aca="false">IF(D28&lt;=0,0,MIN(SUMIF('Loan Details'!$G$6:$G$20,A28,'Loan Details'!$H$6:$H$20),D28-G28))</f>
        <v>0</v>
      </c>
      <c r="I28" s="33" t="n">
        <f aca="false">MAX(0,D28-G28-H28)</f>
        <v>2659154</v>
      </c>
      <c r="J28" s="33" t="n">
        <f aca="false">IF(D28&lt;=0,0,IF(AND('Loan Details'!$B$10="Keep tenure, change EMI",OR(C28&lt;&gt;C27,H27&gt;0)),ROUND(PMT(C28/12,MAX(1,'Loan Details'!$B$8-A28+1),-D28),0),J27))</f>
        <v>26035</v>
      </c>
    </row>
    <row r="29" customFormat="false" ht="15" hidden="false" customHeight="true" outlineLevel="0" collapsed="false">
      <c r="A29" s="24" t="n">
        <f aca="false">25</f>
        <v>25</v>
      </c>
      <c r="B29" s="32" t="n">
        <f aca="false">EDATE('Loan Details'!$B$9,24)</f>
        <v>46878</v>
      </c>
      <c r="C29" s="25" t="n">
        <f aca="false">LOOKUP(A29,'Loan Details'!$J$6:$J$14,'Loan Details'!$K$6:$K$14)</f>
        <v>0.0875</v>
      </c>
      <c r="D29" s="33" t="n">
        <f aca="false">I28</f>
        <v>2659154</v>
      </c>
      <c r="E29" s="33" t="n">
        <f aca="false">IF(D29&lt;=0,0,MIN(J29,D29+F29))</f>
        <v>26035</v>
      </c>
      <c r="F29" s="33" t="n">
        <f aca="false">IF(D29&lt;=0,0,ROUND(D29*C29/12,0))</f>
        <v>19390</v>
      </c>
      <c r="G29" s="33" t="n">
        <f aca="false">E29-F29</f>
        <v>6645</v>
      </c>
      <c r="H29" s="33" t="n">
        <f aca="false">IF(D29&lt;=0,0,MIN(SUMIF('Loan Details'!$G$6:$G$20,A29,'Loan Details'!$H$6:$H$20),D29-G29))</f>
        <v>0</v>
      </c>
      <c r="I29" s="33" t="n">
        <f aca="false">MAX(0,D29-G29-H29)</f>
        <v>2652509</v>
      </c>
      <c r="J29" s="33" t="n">
        <f aca="false">IF(D29&lt;=0,0,IF(AND('Loan Details'!$B$10="Keep tenure, change EMI",OR(C29&lt;&gt;C28,H28&gt;0)),ROUND(PMT(C29/12,MAX(1,'Loan Details'!$B$8-A29+1),-D29),0),J28))</f>
        <v>26035</v>
      </c>
    </row>
    <row r="30" customFormat="false" ht="15" hidden="false" customHeight="true" outlineLevel="0" collapsed="false">
      <c r="A30" s="24" t="n">
        <f aca="false">26</f>
        <v>26</v>
      </c>
      <c r="B30" s="32" t="n">
        <f aca="false">EDATE('Loan Details'!$B$9,25)</f>
        <v>46909</v>
      </c>
      <c r="C30" s="25" t="n">
        <f aca="false">LOOKUP(A30,'Loan Details'!$J$6:$J$14,'Loan Details'!$K$6:$K$14)</f>
        <v>0.0875</v>
      </c>
      <c r="D30" s="33" t="n">
        <f aca="false">I29</f>
        <v>2652509</v>
      </c>
      <c r="E30" s="33" t="n">
        <f aca="false">IF(D30&lt;=0,0,MIN(J30,D30+F30))</f>
        <v>26035</v>
      </c>
      <c r="F30" s="33" t="n">
        <f aca="false">IF(D30&lt;=0,0,ROUND(D30*C30/12,0))</f>
        <v>19341</v>
      </c>
      <c r="G30" s="33" t="n">
        <f aca="false">E30-F30</f>
        <v>6694</v>
      </c>
      <c r="H30" s="33" t="n">
        <f aca="false">IF(D30&lt;=0,0,MIN(SUMIF('Loan Details'!$G$6:$G$20,A30,'Loan Details'!$H$6:$H$20),D30-G30))</f>
        <v>0</v>
      </c>
      <c r="I30" s="33" t="n">
        <f aca="false">MAX(0,D30-G30-H30)</f>
        <v>2645815</v>
      </c>
      <c r="J30" s="33" t="n">
        <f aca="false">IF(D30&lt;=0,0,IF(AND('Loan Details'!$B$10="Keep tenure, change EMI",OR(C30&lt;&gt;C29,H29&gt;0)),ROUND(PMT(C30/12,MAX(1,'Loan Details'!$B$8-A30+1),-D30),0),J29))</f>
        <v>26035</v>
      </c>
    </row>
    <row r="31" customFormat="false" ht="15" hidden="false" customHeight="true" outlineLevel="0" collapsed="false">
      <c r="A31" s="24" t="n">
        <f aca="false">27</f>
        <v>27</v>
      </c>
      <c r="B31" s="32" t="n">
        <f aca="false">EDATE('Loan Details'!$B$9,26)</f>
        <v>46939</v>
      </c>
      <c r="C31" s="25" t="n">
        <f aca="false">LOOKUP(A31,'Loan Details'!$J$6:$J$14,'Loan Details'!$K$6:$K$14)</f>
        <v>0.0875</v>
      </c>
      <c r="D31" s="33" t="n">
        <f aca="false">I30</f>
        <v>2645815</v>
      </c>
      <c r="E31" s="33" t="n">
        <f aca="false">IF(D31&lt;=0,0,MIN(J31,D31+F31))</f>
        <v>26035</v>
      </c>
      <c r="F31" s="33" t="n">
        <f aca="false">IF(D31&lt;=0,0,ROUND(D31*C31/12,0))</f>
        <v>19292</v>
      </c>
      <c r="G31" s="33" t="n">
        <f aca="false">E31-F31</f>
        <v>6743</v>
      </c>
      <c r="H31" s="33" t="n">
        <f aca="false">IF(D31&lt;=0,0,MIN(SUMIF('Loan Details'!$G$6:$G$20,A31,'Loan Details'!$H$6:$H$20),D31-G31))</f>
        <v>0</v>
      </c>
      <c r="I31" s="33" t="n">
        <f aca="false">MAX(0,D31-G31-H31)</f>
        <v>2639072</v>
      </c>
      <c r="J31" s="33" t="n">
        <f aca="false">IF(D31&lt;=0,0,IF(AND('Loan Details'!$B$10="Keep tenure, change EMI",OR(C31&lt;&gt;C30,H30&gt;0)),ROUND(PMT(C31/12,MAX(1,'Loan Details'!$B$8-A31+1),-D31),0),J30))</f>
        <v>26035</v>
      </c>
    </row>
    <row r="32" customFormat="false" ht="15" hidden="false" customHeight="true" outlineLevel="0" collapsed="false">
      <c r="A32" s="24" t="n">
        <f aca="false">28</f>
        <v>28</v>
      </c>
      <c r="B32" s="32" t="n">
        <f aca="false">EDATE('Loan Details'!$B$9,27)</f>
        <v>46970</v>
      </c>
      <c r="C32" s="25" t="n">
        <f aca="false">LOOKUP(A32,'Loan Details'!$J$6:$J$14,'Loan Details'!$K$6:$K$14)</f>
        <v>0.0875</v>
      </c>
      <c r="D32" s="33" t="n">
        <f aca="false">I31</f>
        <v>2639072</v>
      </c>
      <c r="E32" s="33" t="n">
        <f aca="false">IF(D32&lt;=0,0,MIN(J32,D32+F32))</f>
        <v>26035</v>
      </c>
      <c r="F32" s="33" t="n">
        <f aca="false">IF(D32&lt;=0,0,ROUND(D32*C32/12,0))</f>
        <v>19243</v>
      </c>
      <c r="G32" s="33" t="n">
        <f aca="false">E32-F32</f>
        <v>6792</v>
      </c>
      <c r="H32" s="33" t="n">
        <f aca="false">IF(D32&lt;=0,0,MIN(SUMIF('Loan Details'!$G$6:$G$20,A32,'Loan Details'!$H$6:$H$20),D32-G32))</f>
        <v>0</v>
      </c>
      <c r="I32" s="33" t="n">
        <f aca="false">MAX(0,D32-G32-H32)</f>
        <v>2632280</v>
      </c>
      <c r="J32" s="33" t="n">
        <f aca="false">IF(D32&lt;=0,0,IF(AND('Loan Details'!$B$10="Keep tenure, change EMI",OR(C32&lt;&gt;C31,H31&gt;0)),ROUND(PMT(C32/12,MAX(1,'Loan Details'!$B$8-A32+1),-D32),0),J31))</f>
        <v>26035</v>
      </c>
    </row>
    <row r="33" customFormat="false" ht="15" hidden="false" customHeight="true" outlineLevel="0" collapsed="false">
      <c r="A33" s="24" t="n">
        <f aca="false">29</f>
        <v>29</v>
      </c>
      <c r="B33" s="32" t="n">
        <f aca="false">EDATE('Loan Details'!$B$9,28)</f>
        <v>47001</v>
      </c>
      <c r="C33" s="25" t="n">
        <f aca="false">LOOKUP(A33,'Loan Details'!$J$6:$J$14,'Loan Details'!$K$6:$K$14)</f>
        <v>0.0875</v>
      </c>
      <c r="D33" s="33" t="n">
        <f aca="false">I32</f>
        <v>2632280</v>
      </c>
      <c r="E33" s="33" t="n">
        <f aca="false">IF(D33&lt;=0,0,MIN(J33,D33+F33))</f>
        <v>26035</v>
      </c>
      <c r="F33" s="33" t="n">
        <f aca="false">IF(D33&lt;=0,0,ROUND(D33*C33/12,0))</f>
        <v>19194</v>
      </c>
      <c r="G33" s="33" t="n">
        <f aca="false">E33-F33</f>
        <v>6841</v>
      </c>
      <c r="H33" s="33" t="n">
        <f aca="false">IF(D33&lt;=0,0,MIN(SUMIF('Loan Details'!$G$6:$G$20,A33,'Loan Details'!$H$6:$H$20),D33-G33))</f>
        <v>0</v>
      </c>
      <c r="I33" s="33" t="n">
        <f aca="false">MAX(0,D33-G33-H33)</f>
        <v>2625439</v>
      </c>
      <c r="J33" s="33" t="n">
        <f aca="false">IF(D33&lt;=0,0,IF(AND('Loan Details'!$B$10="Keep tenure, change EMI",OR(C33&lt;&gt;C32,H32&gt;0)),ROUND(PMT(C33/12,MAX(1,'Loan Details'!$B$8-A33+1),-D33),0),J32))</f>
        <v>26035</v>
      </c>
    </row>
    <row r="34" customFormat="false" ht="15" hidden="false" customHeight="true" outlineLevel="0" collapsed="false">
      <c r="A34" s="24" t="n">
        <f aca="false">30</f>
        <v>30</v>
      </c>
      <c r="B34" s="32" t="n">
        <f aca="false">EDATE('Loan Details'!$B$9,29)</f>
        <v>47031</v>
      </c>
      <c r="C34" s="25" t="n">
        <f aca="false">LOOKUP(A34,'Loan Details'!$J$6:$J$14,'Loan Details'!$K$6:$K$14)</f>
        <v>0.0875</v>
      </c>
      <c r="D34" s="33" t="n">
        <f aca="false">I33</f>
        <v>2625439</v>
      </c>
      <c r="E34" s="33" t="n">
        <f aca="false">IF(D34&lt;=0,0,MIN(J34,D34+F34))</f>
        <v>26035</v>
      </c>
      <c r="F34" s="33" t="n">
        <f aca="false">IF(D34&lt;=0,0,ROUND(D34*C34/12,0))</f>
        <v>19144</v>
      </c>
      <c r="G34" s="33" t="n">
        <f aca="false">E34-F34</f>
        <v>6891</v>
      </c>
      <c r="H34" s="33" t="n">
        <f aca="false">IF(D34&lt;=0,0,MIN(SUMIF('Loan Details'!$G$6:$G$20,A34,'Loan Details'!$H$6:$H$20),D34-G34))</f>
        <v>0</v>
      </c>
      <c r="I34" s="33" t="n">
        <f aca="false">MAX(0,D34-G34-H34)</f>
        <v>2618548</v>
      </c>
      <c r="J34" s="33" t="n">
        <f aca="false">IF(D34&lt;=0,0,IF(AND('Loan Details'!$B$10="Keep tenure, change EMI",OR(C34&lt;&gt;C33,H33&gt;0)),ROUND(PMT(C34/12,MAX(1,'Loan Details'!$B$8-A34+1),-D34),0),J33))</f>
        <v>26035</v>
      </c>
    </row>
    <row r="35" customFormat="false" ht="15" hidden="false" customHeight="true" outlineLevel="0" collapsed="false">
      <c r="A35" s="24" t="n">
        <f aca="false">31</f>
        <v>31</v>
      </c>
      <c r="B35" s="32" t="n">
        <f aca="false">EDATE('Loan Details'!$B$9,30)</f>
        <v>47062</v>
      </c>
      <c r="C35" s="25" t="n">
        <f aca="false">LOOKUP(A35,'Loan Details'!$J$6:$J$14,'Loan Details'!$K$6:$K$14)</f>
        <v>0.0875</v>
      </c>
      <c r="D35" s="33" t="n">
        <f aca="false">I34</f>
        <v>2618548</v>
      </c>
      <c r="E35" s="33" t="n">
        <f aca="false">IF(D35&lt;=0,0,MIN(J35,D35+F35))</f>
        <v>26035</v>
      </c>
      <c r="F35" s="33" t="n">
        <f aca="false">IF(D35&lt;=0,0,ROUND(D35*C35/12,0))</f>
        <v>19094</v>
      </c>
      <c r="G35" s="33" t="n">
        <f aca="false">E35-F35</f>
        <v>6941</v>
      </c>
      <c r="H35" s="33" t="n">
        <f aca="false">IF(D35&lt;=0,0,MIN(SUMIF('Loan Details'!$G$6:$G$20,A35,'Loan Details'!$H$6:$H$20),D35-G35))</f>
        <v>0</v>
      </c>
      <c r="I35" s="33" t="n">
        <f aca="false">MAX(0,D35-G35-H35)</f>
        <v>2611607</v>
      </c>
      <c r="J35" s="33" t="n">
        <f aca="false">IF(D35&lt;=0,0,IF(AND('Loan Details'!$B$10="Keep tenure, change EMI",OR(C35&lt;&gt;C34,H34&gt;0)),ROUND(PMT(C35/12,MAX(1,'Loan Details'!$B$8-A35+1),-D35),0),J34))</f>
        <v>26035</v>
      </c>
    </row>
    <row r="36" customFormat="false" ht="15" hidden="false" customHeight="true" outlineLevel="0" collapsed="false">
      <c r="A36" s="24" t="n">
        <f aca="false">32</f>
        <v>32</v>
      </c>
      <c r="B36" s="32" t="n">
        <f aca="false">EDATE('Loan Details'!$B$9,31)</f>
        <v>47092</v>
      </c>
      <c r="C36" s="25" t="n">
        <f aca="false">LOOKUP(A36,'Loan Details'!$J$6:$J$14,'Loan Details'!$K$6:$K$14)</f>
        <v>0.0875</v>
      </c>
      <c r="D36" s="33" t="n">
        <f aca="false">I35</f>
        <v>2611607</v>
      </c>
      <c r="E36" s="33" t="n">
        <f aca="false">IF(D36&lt;=0,0,MIN(J36,D36+F36))</f>
        <v>26035</v>
      </c>
      <c r="F36" s="33" t="n">
        <f aca="false">IF(D36&lt;=0,0,ROUND(D36*C36/12,0))</f>
        <v>19043</v>
      </c>
      <c r="G36" s="33" t="n">
        <f aca="false">E36-F36</f>
        <v>6992</v>
      </c>
      <c r="H36" s="33" t="n">
        <f aca="false">IF(D36&lt;=0,0,MIN(SUMIF('Loan Details'!$G$6:$G$20,A36,'Loan Details'!$H$6:$H$20),D36-G36))</f>
        <v>0</v>
      </c>
      <c r="I36" s="33" t="n">
        <f aca="false">MAX(0,D36-G36-H36)</f>
        <v>2604615</v>
      </c>
      <c r="J36" s="33" t="n">
        <f aca="false">IF(D36&lt;=0,0,IF(AND('Loan Details'!$B$10="Keep tenure, change EMI",OR(C36&lt;&gt;C35,H35&gt;0)),ROUND(PMT(C36/12,MAX(1,'Loan Details'!$B$8-A36+1),-D36),0),J35))</f>
        <v>26035</v>
      </c>
    </row>
    <row r="37" customFormat="false" ht="15" hidden="false" customHeight="true" outlineLevel="0" collapsed="false">
      <c r="A37" s="24" t="n">
        <f aca="false">33</f>
        <v>33</v>
      </c>
      <c r="B37" s="32" t="n">
        <f aca="false">EDATE('Loan Details'!$B$9,32)</f>
        <v>47123</v>
      </c>
      <c r="C37" s="25" t="n">
        <f aca="false">LOOKUP(A37,'Loan Details'!$J$6:$J$14,'Loan Details'!$K$6:$K$14)</f>
        <v>0.0875</v>
      </c>
      <c r="D37" s="33" t="n">
        <f aca="false">I36</f>
        <v>2604615</v>
      </c>
      <c r="E37" s="33" t="n">
        <f aca="false">IF(D37&lt;=0,0,MIN(J37,D37+F37))</f>
        <v>26035</v>
      </c>
      <c r="F37" s="33" t="n">
        <f aca="false">IF(D37&lt;=0,0,ROUND(D37*C37/12,0))</f>
        <v>18992</v>
      </c>
      <c r="G37" s="33" t="n">
        <f aca="false">E37-F37</f>
        <v>7043</v>
      </c>
      <c r="H37" s="33" t="n">
        <f aca="false">IF(D37&lt;=0,0,MIN(SUMIF('Loan Details'!$G$6:$G$20,A37,'Loan Details'!$H$6:$H$20),D37-G37))</f>
        <v>0</v>
      </c>
      <c r="I37" s="33" t="n">
        <f aca="false">MAX(0,D37-G37-H37)</f>
        <v>2597572</v>
      </c>
      <c r="J37" s="33" t="n">
        <f aca="false">IF(D37&lt;=0,0,IF(AND('Loan Details'!$B$10="Keep tenure, change EMI",OR(C37&lt;&gt;C36,H36&gt;0)),ROUND(PMT(C37/12,MAX(1,'Loan Details'!$B$8-A37+1),-D37),0),J36))</f>
        <v>26035</v>
      </c>
    </row>
    <row r="38" customFormat="false" ht="15" hidden="false" customHeight="true" outlineLevel="0" collapsed="false">
      <c r="A38" s="24" t="n">
        <f aca="false">34</f>
        <v>34</v>
      </c>
      <c r="B38" s="32" t="n">
        <f aca="false">EDATE('Loan Details'!$B$9,33)</f>
        <v>47154</v>
      </c>
      <c r="C38" s="25" t="n">
        <f aca="false">LOOKUP(A38,'Loan Details'!$J$6:$J$14,'Loan Details'!$K$6:$K$14)</f>
        <v>0.0875</v>
      </c>
      <c r="D38" s="33" t="n">
        <f aca="false">I37</f>
        <v>2597572</v>
      </c>
      <c r="E38" s="33" t="n">
        <f aca="false">IF(D38&lt;=0,0,MIN(J38,D38+F38))</f>
        <v>26035</v>
      </c>
      <c r="F38" s="33" t="n">
        <f aca="false">IF(D38&lt;=0,0,ROUND(D38*C38/12,0))</f>
        <v>18941</v>
      </c>
      <c r="G38" s="33" t="n">
        <f aca="false">E38-F38</f>
        <v>7094</v>
      </c>
      <c r="H38" s="33" t="n">
        <f aca="false">IF(D38&lt;=0,0,MIN(SUMIF('Loan Details'!$G$6:$G$20,A38,'Loan Details'!$H$6:$H$20),D38-G38))</f>
        <v>0</v>
      </c>
      <c r="I38" s="33" t="n">
        <f aca="false">MAX(0,D38-G38-H38)</f>
        <v>2590478</v>
      </c>
      <c r="J38" s="33" t="n">
        <f aca="false">IF(D38&lt;=0,0,IF(AND('Loan Details'!$B$10="Keep tenure, change EMI",OR(C38&lt;&gt;C37,H37&gt;0)),ROUND(PMT(C38/12,MAX(1,'Loan Details'!$B$8-A38+1),-D38),0),J37))</f>
        <v>26035</v>
      </c>
    </row>
    <row r="39" customFormat="false" ht="15" hidden="false" customHeight="true" outlineLevel="0" collapsed="false">
      <c r="A39" s="24" t="n">
        <f aca="false">35</f>
        <v>35</v>
      </c>
      <c r="B39" s="32" t="n">
        <f aca="false">EDATE('Loan Details'!$B$9,34)</f>
        <v>47182</v>
      </c>
      <c r="C39" s="25" t="n">
        <f aca="false">LOOKUP(A39,'Loan Details'!$J$6:$J$14,'Loan Details'!$K$6:$K$14)</f>
        <v>0.0875</v>
      </c>
      <c r="D39" s="33" t="n">
        <f aca="false">I38</f>
        <v>2590478</v>
      </c>
      <c r="E39" s="33" t="n">
        <f aca="false">IF(D39&lt;=0,0,MIN(J39,D39+F39))</f>
        <v>26035</v>
      </c>
      <c r="F39" s="33" t="n">
        <f aca="false">IF(D39&lt;=0,0,ROUND(D39*C39/12,0))</f>
        <v>18889</v>
      </c>
      <c r="G39" s="33" t="n">
        <f aca="false">E39-F39</f>
        <v>7146</v>
      </c>
      <c r="H39" s="33" t="n">
        <f aca="false">IF(D39&lt;=0,0,MIN(SUMIF('Loan Details'!$G$6:$G$20,A39,'Loan Details'!$H$6:$H$20),D39-G39))</f>
        <v>0</v>
      </c>
      <c r="I39" s="33" t="n">
        <f aca="false">MAX(0,D39-G39-H39)</f>
        <v>2583332</v>
      </c>
      <c r="J39" s="33" t="n">
        <f aca="false">IF(D39&lt;=0,0,IF(AND('Loan Details'!$B$10="Keep tenure, change EMI",OR(C39&lt;&gt;C38,H38&gt;0)),ROUND(PMT(C39/12,MAX(1,'Loan Details'!$B$8-A39+1),-D39),0),J38))</f>
        <v>26035</v>
      </c>
    </row>
    <row r="40" customFormat="false" ht="15" hidden="false" customHeight="true" outlineLevel="0" collapsed="false">
      <c r="A40" s="24" t="n">
        <f aca="false">36</f>
        <v>36</v>
      </c>
      <c r="B40" s="32" t="n">
        <f aca="false">EDATE('Loan Details'!$B$9,35)</f>
        <v>47213</v>
      </c>
      <c r="C40" s="25" t="n">
        <f aca="false">LOOKUP(A40,'Loan Details'!$J$6:$J$14,'Loan Details'!$K$6:$K$14)</f>
        <v>0.0875</v>
      </c>
      <c r="D40" s="33" t="n">
        <f aca="false">I39</f>
        <v>2583332</v>
      </c>
      <c r="E40" s="33" t="n">
        <f aca="false">IF(D40&lt;=0,0,MIN(J40,D40+F40))</f>
        <v>26035</v>
      </c>
      <c r="F40" s="33" t="n">
        <f aca="false">IF(D40&lt;=0,0,ROUND(D40*C40/12,0))</f>
        <v>18837</v>
      </c>
      <c r="G40" s="33" t="n">
        <f aca="false">E40-F40</f>
        <v>7198</v>
      </c>
      <c r="H40" s="33" t="n">
        <f aca="false">IF(D40&lt;=0,0,MIN(SUMIF('Loan Details'!$G$6:$G$20,A40,'Loan Details'!$H$6:$H$20),D40-G40))</f>
        <v>0</v>
      </c>
      <c r="I40" s="33" t="n">
        <f aca="false">MAX(0,D40-G40-H40)</f>
        <v>2576134</v>
      </c>
      <c r="J40" s="33" t="n">
        <f aca="false">IF(D40&lt;=0,0,IF(AND('Loan Details'!$B$10="Keep tenure, change EMI",OR(C40&lt;&gt;C39,H39&gt;0)),ROUND(PMT(C40/12,MAX(1,'Loan Details'!$B$8-A40+1),-D40),0),J39))</f>
        <v>26035</v>
      </c>
    </row>
    <row r="41" customFormat="false" ht="15" hidden="false" customHeight="true" outlineLevel="0" collapsed="false">
      <c r="A41" s="24" t="n">
        <f aca="false">37</f>
        <v>37</v>
      </c>
      <c r="B41" s="32" t="n">
        <f aca="false">EDATE('Loan Details'!$B$9,36)</f>
        <v>47243</v>
      </c>
      <c r="C41" s="25" t="n">
        <f aca="false">LOOKUP(A41,'Loan Details'!$J$6:$J$14,'Loan Details'!$K$6:$K$14)</f>
        <v>0.0875</v>
      </c>
      <c r="D41" s="33" t="n">
        <f aca="false">I40</f>
        <v>2576134</v>
      </c>
      <c r="E41" s="33" t="n">
        <f aca="false">IF(D41&lt;=0,0,MIN(J41,D41+F41))</f>
        <v>26035</v>
      </c>
      <c r="F41" s="33" t="n">
        <f aca="false">IF(D41&lt;=0,0,ROUND(D41*C41/12,0))</f>
        <v>18784</v>
      </c>
      <c r="G41" s="33" t="n">
        <f aca="false">E41-F41</f>
        <v>7251</v>
      </c>
      <c r="H41" s="33" t="n">
        <f aca="false">IF(D41&lt;=0,0,MIN(SUMIF('Loan Details'!$G$6:$G$20,A41,'Loan Details'!$H$6:$H$20),D41-G41))</f>
        <v>300000</v>
      </c>
      <c r="I41" s="33" t="n">
        <f aca="false">MAX(0,D41-G41-H41)</f>
        <v>2268883</v>
      </c>
      <c r="J41" s="33" t="n">
        <f aca="false">IF(D41&lt;=0,0,IF(AND('Loan Details'!$B$10="Keep tenure, change EMI",OR(C41&lt;&gt;C40,H40&gt;0)),ROUND(PMT(C41/12,MAX(1,'Loan Details'!$B$8-A41+1),-D41),0),J40))</f>
        <v>26035</v>
      </c>
    </row>
    <row r="42" customFormat="false" ht="15" hidden="false" customHeight="true" outlineLevel="0" collapsed="false">
      <c r="A42" s="24" t="n">
        <f aca="false">38</f>
        <v>38</v>
      </c>
      <c r="B42" s="32" t="n">
        <f aca="false">EDATE('Loan Details'!$B$9,37)</f>
        <v>47274</v>
      </c>
      <c r="C42" s="25" t="n">
        <f aca="false">LOOKUP(A42,'Loan Details'!$J$6:$J$14,'Loan Details'!$K$6:$K$14)</f>
        <v>0.0875</v>
      </c>
      <c r="D42" s="33" t="n">
        <f aca="false">I41</f>
        <v>2268883</v>
      </c>
      <c r="E42" s="33" t="n">
        <f aca="false">IF(D42&lt;=0,0,MIN(J42,D42+F42))</f>
        <v>26035</v>
      </c>
      <c r="F42" s="33" t="n">
        <f aca="false">IF(D42&lt;=0,0,ROUND(D42*C42/12,0))</f>
        <v>16544</v>
      </c>
      <c r="G42" s="33" t="n">
        <f aca="false">E42-F42</f>
        <v>9491</v>
      </c>
      <c r="H42" s="33" t="n">
        <f aca="false">IF(D42&lt;=0,0,MIN(SUMIF('Loan Details'!$G$6:$G$20,A42,'Loan Details'!$H$6:$H$20),D42-G42))</f>
        <v>0</v>
      </c>
      <c r="I42" s="33" t="n">
        <f aca="false">MAX(0,D42-G42-H42)</f>
        <v>2259392</v>
      </c>
      <c r="J42" s="33" t="n">
        <f aca="false">IF(D42&lt;=0,0,IF(AND('Loan Details'!$B$10="Keep tenure, change EMI",OR(C42&lt;&gt;C41,H41&gt;0)),ROUND(PMT(C42/12,MAX(1,'Loan Details'!$B$8-A42+1),-D42),0),J41))</f>
        <v>26035</v>
      </c>
    </row>
    <row r="43" customFormat="false" ht="15" hidden="false" customHeight="true" outlineLevel="0" collapsed="false">
      <c r="A43" s="24" t="n">
        <f aca="false">39</f>
        <v>39</v>
      </c>
      <c r="B43" s="32" t="n">
        <f aca="false">EDATE('Loan Details'!$B$9,38)</f>
        <v>47304</v>
      </c>
      <c r="C43" s="25" t="n">
        <f aca="false">LOOKUP(A43,'Loan Details'!$J$6:$J$14,'Loan Details'!$K$6:$K$14)</f>
        <v>0.0875</v>
      </c>
      <c r="D43" s="33" t="n">
        <f aca="false">I42</f>
        <v>2259392</v>
      </c>
      <c r="E43" s="33" t="n">
        <f aca="false">IF(D43&lt;=0,0,MIN(J43,D43+F43))</f>
        <v>26035</v>
      </c>
      <c r="F43" s="33" t="n">
        <f aca="false">IF(D43&lt;=0,0,ROUND(D43*C43/12,0))</f>
        <v>16475</v>
      </c>
      <c r="G43" s="33" t="n">
        <f aca="false">E43-F43</f>
        <v>9560</v>
      </c>
      <c r="H43" s="33" t="n">
        <f aca="false">IF(D43&lt;=0,0,MIN(SUMIF('Loan Details'!$G$6:$G$20,A43,'Loan Details'!$H$6:$H$20),D43-G43))</f>
        <v>0</v>
      </c>
      <c r="I43" s="33" t="n">
        <f aca="false">MAX(0,D43-G43-H43)</f>
        <v>2249832</v>
      </c>
      <c r="J43" s="33" t="n">
        <f aca="false">IF(D43&lt;=0,0,IF(AND('Loan Details'!$B$10="Keep tenure, change EMI",OR(C43&lt;&gt;C42,H42&gt;0)),ROUND(PMT(C43/12,MAX(1,'Loan Details'!$B$8-A43+1),-D43),0),J42))</f>
        <v>26035</v>
      </c>
    </row>
    <row r="44" customFormat="false" ht="15" hidden="false" customHeight="true" outlineLevel="0" collapsed="false">
      <c r="A44" s="24" t="n">
        <f aca="false">40</f>
        <v>40</v>
      </c>
      <c r="B44" s="32" t="n">
        <f aca="false">EDATE('Loan Details'!$B$9,39)</f>
        <v>47335</v>
      </c>
      <c r="C44" s="25" t="n">
        <f aca="false">LOOKUP(A44,'Loan Details'!$J$6:$J$14,'Loan Details'!$K$6:$K$14)</f>
        <v>0.0875</v>
      </c>
      <c r="D44" s="33" t="n">
        <f aca="false">I43</f>
        <v>2249832</v>
      </c>
      <c r="E44" s="33" t="n">
        <f aca="false">IF(D44&lt;=0,0,MIN(J44,D44+F44))</f>
        <v>26035</v>
      </c>
      <c r="F44" s="33" t="n">
        <f aca="false">IF(D44&lt;=0,0,ROUND(D44*C44/12,0))</f>
        <v>16405</v>
      </c>
      <c r="G44" s="33" t="n">
        <f aca="false">E44-F44</f>
        <v>9630</v>
      </c>
      <c r="H44" s="33" t="n">
        <f aca="false">IF(D44&lt;=0,0,MIN(SUMIF('Loan Details'!$G$6:$G$20,A44,'Loan Details'!$H$6:$H$20),D44-G44))</f>
        <v>0</v>
      </c>
      <c r="I44" s="33" t="n">
        <f aca="false">MAX(0,D44-G44-H44)</f>
        <v>2240202</v>
      </c>
      <c r="J44" s="33" t="n">
        <f aca="false">IF(D44&lt;=0,0,IF(AND('Loan Details'!$B$10="Keep tenure, change EMI",OR(C44&lt;&gt;C43,H43&gt;0)),ROUND(PMT(C44/12,MAX(1,'Loan Details'!$B$8-A44+1),-D44),0),J43))</f>
        <v>26035</v>
      </c>
    </row>
    <row r="45" customFormat="false" ht="15" hidden="false" customHeight="true" outlineLevel="0" collapsed="false">
      <c r="A45" s="24" t="n">
        <f aca="false">41</f>
        <v>41</v>
      </c>
      <c r="B45" s="32" t="n">
        <f aca="false">EDATE('Loan Details'!$B$9,40)</f>
        <v>47366</v>
      </c>
      <c r="C45" s="25" t="n">
        <f aca="false">LOOKUP(A45,'Loan Details'!$J$6:$J$14,'Loan Details'!$K$6:$K$14)</f>
        <v>0.0875</v>
      </c>
      <c r="D45" s="33" t="n">
        <f aca="false">I44</f>
        <v>2240202</v>
      </c>
      <c r="E45" s="33" t="n">
        <f aca="false">IF(D45&lt;=0,0,MIN(J45,D45+F45))</f>
        <v>26035</v>
      </c>
      <c r="F45" s="33" t="n">
        <f aca="false">IF(D45&lt;=0,0,ROUND(D45*C45/12,0))</f>
        <v>16335</v>
      </c>
      <c r="G45" s="33" t="n">
        <f aca="false">E45-F45</f>
        <v>9700</v>
      </c>
      <c r="H45" s="33" t="n">
        <f aca="false">IF(D45&lt;=0,0,MIN(SUMIF('Loan Details'!$G$6:$G$20,A45,'Loan Details'!$H$6:$H$20),D45-G45))</f>
        <v>0</v>
      </c>
      <c r="I45" s="33" t="n">
        <f aca="false">MAX(0,D45-G45-H45)</f>
        <v>2230502</v>
      </c>
      <c r="J45" s="33" t="n">
        <f aca="false">IF(D45&lt;=0,0,IF(AND('Loan Details'!$B$10="Keep tenure, change EMI",OR(C45&lt;&gt;C44,H44&gt;0)),ROUND(PMT(C45/12,MAX(1,'Loan Details'!$B$8-A45+1),-D45),0),J44))</f>
        <v>26035</v>
      </c>
    </row>
    <row r="46" customFormat="false" ht="15" hidden="false" customHeight="true" outlineLevel="0" collapsed="false">
      <c r="A46" s="24" t="n">
        <f aca="false">42</f>
        <v>42</v>
      </c>
      <c r="B46" s="32" t="n">
        <f aca="false">EDATE('Loan Details'!$B$9,41)</f>
        <v>47396</v>
      </c>
      <c r="C46" s="25" t="n">
        <f aca="false">LOOKUP(A46,'Loan Details'!$J$6:$J$14,'Loan Details'!$K$6:$K$14)</f>
        <v>0.0875</v>
      </c>
      <c r="D46" s="33" t="n">
        <f aca="false">I45</f>
        <v>2230502</v>
      </c>
      <c r="E46" s="33" t="n">
        <f aca="false">IF(D46&lt;=0,0,MIN(J46,D46+F46))</f>
        <v>26035</v>
      </c>
      <c r="F46" s="33" t="n">
        <f aca="false">IF(D46&lt;=0,0,ROUND(D46*C46/12,0))</f>
        <v>16264</v>
      </c>
      <c r="G46" s="33" t="n">
        <f aca="false">E46-F46</f>
        <v>9771</v>
      </c>
      <c r="H46" s="33" t="n">
        <f aca="false">IF(D46&lt;=0,0,MIN(SUMIF('Loan Details'!$G$6:$G$20,A46,'Loan Details'!$H$6:$H$20),D46-G46))</f>
        <v>0</v>
      </c>
      <c r="I46" s="33" t="n">
        <f aca="false">MAX(0,D46-G46-H46)</f>
        <v>2220731</v>
      </c>
      <c r="J46" s="33" t="n">
        <f aca="false">IF(D46&lt;=0,0,IF(AND('Loan Details'!$B$10="Keep tenure, change EMI",OR(C46&lt;&gt;C45,H45&gt;0)),ROUND(PMT(C46/12,MAX(1,'Loan Details'!$B$8-A46+1),-D46),0),J45))</f>
        <v>26035</v>
      </c>
    </row>
    <row r="47" customFormat="false" ht="15" hidden="false" customHeight="true" outlineLevel="0" collapsed="false">
      <c r="A47" s="24" t="n">
        <f aca="false">43</f>
        <v>43</v>
      </c>
      <c r="B47" s="32" t="n">
        <f aca="false">EDATE('Loan Details'!$B$9,42)</f>
        <v>47427</v>
      </c>
      <c r="C47" s="25" t="n">
        <f aca="false">LOOKUP(A47,'Loan Details'!$J$6:$J$14,'Loan Details'!$K$6:$K$14)</f>
        <v>0.0875</v>
      </c>
      <c r="D47" s="33" t="n">
        <f aca="false">I46</f>
        <v>2220731</v>
      </c>
      <c r="E47" s="33" t="n">
        <f aca="false">IF(D47&lt;=0,0,MIN(J47,D47+F47))</f>
        <v>26035</v>
      </c>
      <c r="F47" s="33" t="n">
        <f aca="false">IF(D47&lt;=0,0,ROUND(D47*C47/12,0))</f>
        <v>16193</v>
      </c>
      <c r="G47" s="33" t="n">
        <f aca="false">E47-F47</f>
        <v>9842</v>
      </c>
      <c r="H47" s="33" t="n">
        <f aca="false">IF(D47&lt;=0,0,MIN(SUMIF('Loan Details'!$G$6:$G$20,A47,'Loan Details'!$H$6:$H$20),D47-G47))</f>
        <v>0</v>
      </c>
      <c r="I47" s="33" t="n">
        <f aca="false">MAX(0,D47-G47-H47)</f>
        <v>2210889</v>
      </c>
      <c r="J47" s="33" t="n">
        <f aca="false">IF(D47&lt;=0,0,IF(AND('Loan Details'!$B$10="Keep tenure, change EMI",OR(C47&lt;&gt;C46,H46&gt;0)),ROUND(PMT(C47/12,MAX(1,'Loan Details'!$B$8-A47+1),-D47),0),J46))</f>
        <v>26035</v>
      </c>
    </row>
    <row r="48" customFormat="false" ht="15" hidden="false" customHeight="true" outlineLevel="0" collapsed="false">
      <c r="A48" s="24" t="n">
        <f aca="false">44</f>
        <v>44</v>
      </c>
      <c r="B48" s="32" t="n">
        <f aca="false">EDATE('Loan Details'!$B$9,43)</f>
        <v>47457</v>
      </c>
      <c r="C48" s="25" t="n">
        <f aca="false">LOOKUP(A48,'Loan Details'!$J$6:$J$14,'Loan Details'!$K$6:$K$14)</f>
        <v>0.0875</v>
      </c>
      <c r="D48" s="33" t="n">
        <f aca="false">I47</f>
        <v>2210889</v>
      </c>
      <c r="E48" s="33" t="n">
        <f aca="false">IF(D48&lt;=0,0,MIN(J48,D48+F48))</f>
        <v>26035</v>
      </c>
      <c r="F48" s="33" t="n">
        <f aca="false">IF(D48&lt;=0,0,ROUND(D48*C48/12,0))</f>
        <v>16121</v>
      </c>
      <c r="G48" s="33" t="n">
        <f aca="false">E48-F48</f>
        <v>9914</v>
      </c>
      <c r="H48" s="33" t="n">
        <f aca="false">IF(D48&lt;=0,0,MIN(SUMIF('Loan Details'!$G$6:$G$20,A48,'Loan Details'!$H$6:$H$20),D48-G48))</f>
        <v>0</v>
      </c>
      <c r="I48" s="33" t="n">
        <f aca="false">MAX(0,D48-G48-H48)</f>
        <v>2200975</v>
      </c>
      <c r="J48" s="33" t="n">
        <f aca="false">IF(D48&lt;=0,0,IF(AND('Loan Details'!$B$10="Keep tenure, change EMI",OR(C48&lt;&gt;C47,H47&gt;0)),ROUND(PMT(C48/12,MAX(1,'Loan Details'!$B$8-A48+1),-D48),0),J47))</f>
        <v>26035</v>
      </c>
    </row>
    <row r="49" customFormat="false" ht="15" hidden="false" customHeight="true" outlineLevel="0" collapsed="false">
      <c r="A49" s="24" t="n">
        <f aca="false">45</f>
        <v>45</v>
      </c>
      <c r="B49" s="32" t="n">
        <f aca="false">EDATE('Loan Details'!$B$9,44)</f>
        <v>47488</v>
      </c>
      <c r="C49" s="25" t="n">
        <f aca="false">LOOKUP(A49,'Loan Details'!$J$6:$J$14,'Loan Details'!$K$6:$K$14)</f>
        <v>0.0875</v>
      </c>
      <c r="D49" s="33" t="n">
        <f aca="false">I48</f>
        <v>2200975</v>
      </c>
      <c r="E49" s="33" t="n">
        <f aca="false">IF(D49&lt;=0,0,MIN(J49,D49+F49))</f>
        <v>26035</v>
      </c>
      <c r="F49" s="33" t="n">
        <f aca="false">IF(D49&lt;=0,0,ROUND(D49*C49/12,0))</f>
        <v>16049</v>
      </c>
      <c r="G49" s="33" t="n">
        <f aca="false">E49-F49</f>
        <v>9986</v>
      </c>
      <c r="H49" s="33" t="n">
        <f aca="false">IF(D49&lt;=0,0,MIN(SUMIF('Loan Details'!$G$6:$G$20,A49,'Loan Details'!$H$6:$H$20),D49-G49))</f>
        <v>0</v>
      </c>
      <c r="I49" s="33" t="n">
        <f aca="false">MAX(0,D49-G49-H49)</f>
        <v>2190989</v>
      </c>
      <c r="J49" s="33" t="n">
        <f aca="false">IF(D49&lt;=0,0,IF(AND('Loan Details'!$B$10="Keep tenure, change EMI",OR(C49&lt;&gt;C48,H48&gt;0)),ROUND(PMT(C49/12,MAX(1,'Loan Details'!$B$8-A49+1),-D49),0),J48))</f>
        <v>26035</v>
      </c>
    </row>
    <row r="50" customFormat="false" ht="15" hidden="false" customHeight="true" outlineLevel="0" collapsed="false">
      <c r="A50" s="24" t="n">
        <f aca="false">46</f>
        <v>46</v>
      </c>
      <c r="B50" s="32" t="n">
        <f aca="false">EDATE('Loan Details'!$B$9,45)</f>
        <v>47519</v>
      </c>
      <c r="C50" s="25" t="n">
        <f aca="false">LOOKUP(A50,'Loan Details'!$J$6:$J$14,'Loan Details'!$K$6:$K$14)</f>
        <v>0.0875</v>
      </c>
      <c r="D50" s="33" t="n">
        <f aca="false">I49</f>
        <v>2190989</v>
      </c>
      <c r="E50" s="33" t="n">
        <f aca="false">IF(D50&lt;=0,0,MIN(J50,D50+F50))</f>
        <v>26035</v>
      </c>
      <c r="F50" s="33" t="n">
        <f aca="false">IF(D50&lt;=0,0,ROUND(D50*C50/12,0))</f>
        <v>15976</v>
      </c>
      <c r="G50" s="33" t="n">
        <f aca="false">E50-F50</f>
        <v>10059</v>
      </c>
      <c r="H50" s="33" t="n">
        <f aca="false">IF(D50&lt;=0,0,MIN(SUMIF('Loan Details'!$G$6:$G$20,A50,'Loan Details'!$H$6:$H$20),D50-G50))</f>
        <v>0</v>
      </c>
      <c r="I50" s="33" t="n">
        <f aca="false">MAX(0,D50-G50-H50)</f>
        <v>2180930</v>
      </c>
      <c r="J50" s="33" t="n">
        <f aca="false">IF(D50&lt;=0,0,IF(AND('Loan Details'!$B$10="Keep tenure, change EMI",OR(C50&lt;&gt;C49,H49&gt;0)),ROUND(PMT(C50/12,MAX(1,'Loan Details'!$B$8-A50+1),-D50),0),J49))</f>
        <v>26035</v>
      </c>
    </row>
    <row r="51" customFormat="false" ht="15" hidden="false" customHeight="true" outlineLevel="0" collapsed="false">
      <c r="A51" s="24" t="n">
        <f aca="false">47</f>
        <v>47</v>
      </c>
      <c r="B51" s="32" t="n">
        <f aca="false">EDATE('Loan Details'!$B$9,46)</f>
        <v>47547</v>
      </c>
      <c r="C51" s="25" t="n">
        <f aca="false">LOOKUP(A51,'Loan Details'!$J$6:$J$14,'Loan Details'!$K$6:$K$14)</f>
        <v>0.0875</v>
      </c>
      <c r="D51" s="33" t="n">
        <f aca="false">I50</f>
        <v>2180930</v>
      </c>
      <c r="E51" s="33" t="n">
        <f aca="false">IF(D51&lt;=0,0,MIN(J51,D51+F51))</f>
        <v>26035</v>
      </c>
      <c r="F51" s="33" t="n">
        <f aca="false">IF(D51&lt;=0,0,ROUND(D51*C51/12,0))</f>
        <v>15903</v>
      </c>
      <c r="G51" s="33" t="n">
        <f aca="false">E51-F51</f>
        <v>10132</v>
      </c>
      <c r="H51" s="33" t="n">
        <f aca="false">IF(D51&lt;=0,0,MIN(SUMIF('Loan Details'!$G$6:$G$20,A51,'Loan Details'!$H$6:$H$20),D51-G51))</f>
        <v>0</v>
      </c>
      <c r="I51" s="33" t="n">
        <f aca="false">MAX(0,D51-G51-H51)</f>
        <v>2170798</v>
      </c>
      <c r="J51" s="33" t="n">
        <f aca="false">IF(D51&lt;=0,0,IF(AND('Loan Details'!$B$10="Keep tenure, change EMI",OR(C51&lt;&gt;C50,H50&gt;0)),ROUND(PMT(C51/12,MAX(1,'Loan Details'!$B$8-A51+1),-D51),0),J50))</f>
        <v>26035</v>
      </c>
    </row>
    <row r="52" customFormat="false" ht="15" hidden="false" customHeight="true" outlineLevel="0" collapsed="false">
      <c r="A52" s="24" t="n">
        <f aca="false">48</f>
        <v>48</v>
      </c>
      <c r="B52" s="32" t="n">
        <f aca="false">EDATE('Loan Details'!$B$9,47)</f>
        <v>47578</v>
      </c>
      <c r="C52" s="25" t="n">
        <f aca="false">LOOKUP(A52,'Loan Details'!$J$6:$J$14,'Loan Details'!$K$6:$K$14)</f>
        <v>0.0875</v>
      </c>
      <c r="D52" s="33" t="n">
        <f aca="false">I51</f>
        <v>2170798</v>
      </c>
      <c r="E52" s="33" t="n">
        <f aca="false">IF(D52&lt;=0,0,MIN(J52,D52+F52))</f>
        <v>26035</v>
      </c>
      <c r="F52" s="33" t="n">
        <f aca="false">IF(D52&lt;=0,0,ROUND(D52*C52/12,0))</f>
        <v>15829</v>
      </c>
      <c r="G52" s="33" t="n">
        <f aca="false">E52-F52</f>
        <v>10206</v>
      </c>
      <c r="H52" s="33" t="n">
        <f aca="false">IF(D52&lt;=0,0,MIN(SUMIF('Loan Details'!$G$6:$G$20,A52,'Loan Details'!$H$6:$H$20),D52-G52))</f>
        <v>0</v>
      </c>
      <c r="I52" s="33" t="n">
        <f aca="false">MAX(0,D52-G52-H52)</f>
        <v>2160592</v>
      </c>
      <c r="J52" s="33" t="n">
        <f aca="false">IF(D52&lt;=0,0,IF(AND('Loan Details'!$B$10="Keep tenure, change EMI",OR(C52&lt;&gt;C51,H51&gt;0)),ROUND(PMT(C52/12,MAX(1,'Loan Details'!$B$8-A52+1),-D52),0),J51))</f>
        <v>26035</v>
      </c>
    </row>
    <row r="53" customFormat="false" ht="15" hidden="false" customHeight="true" outlineLevel="0" collapsed="false">
      <c r="A53" s="24" t="n">
        <f aca="false">49</f>
        <v>49</v>
      </c>
      <c r="B53" s="32" t="n">
        <f aca="false">EDATE('Loan Details'!$B$9,48)</f>
        <v>47608</v>
      </c>
      <c r="C53" s="25" t="n">
        <f aca="false">LOOKUP(A53,'Loan Details'!$J$6:$J$14,'Loan Details'!$K$6:$K$14)</f>
        <v>0.0825</v>
      </c>
      <c r="D53" s="33" t="n">
        <f aca="false">I52</f>
        <v>2160592</v>
      </c>
      <c r="E53" s="33" t="n">
        <f aca="false">IF(D53&lt;=0,0,MIN(J53,D53+F53))</f>
        <v>26035</v>
      </c>
      <c r="F53" s="33" t="n">
        <f aca="false">IF(D53&lt;=0,0,ROUND(D53*C53/12,0))</f>
        <v>14854</v>
      </c>
      <c r="G53" s="33" t="n">
        <f aca="false">E53-F53</f>
        <v>11181</v>
      </c>
      <c r="H53" s="33" t="n">
        <f aca="false">IF(D53&lt;=0,0,MIN(SUMIF('Loan Details'!$G$6:$G$20,A53,'Loan Details'!$H$6:$H$20),D53-G53))</f>
        <v>0</v>
      </c>
      <c r="I53" s="33" t="n">
        <f aca="false">MAX(0,D53-G53-H53)</f>
        <v>2149411</v>
      </c>
      <c r="J53" s="33" t="n">
        <f aca="false">IF(D53&lt;=0,0,IF(AND('Loan Details'!$B$10="Keep tenure, change EMI",OR(C53&lt;&gt;C52,H52&gt;0)),ROUND(PMT(C53/12,MAX(1,'Loan Details'!$B$8-A53+1),-D53),0),J52))</f>
        <v>26035</v>
      </c>
    </row>
    <row r="54" customFormat="false" ht="15" hidden="false" customHeight="true" outlineLevel="0" collapsed="false">
      <c r="A54" s="24" t="n">
        <f aca="false">50</f>
        <v>50</v>
      </c>
      <c r="B54" s="32" t="n">
        <f aca="false">EDATE('Loan Details'!$B$9,49)</f>
        <v>47639</v>
      </c>
      <c r="C54" s="25" t="n">
        <f aca="false">LOOKUP(A54,'Loan Details'!$J$6:$J$14,'Loan Details'!$K$6:$K$14)</f>
        <v>0.0825</v>
      </c>
      <c r="D54" s="33" t="n">
        <f aca="false">I53</f>
        <v>2149411</v>
      </c>
      <c r="E54" s="33" t="n">
        <f aca="false">IF(D54&lt;=0,0,MIN(J54,D54+F54))</f>
        <v>26035</v>
      </c>
      <c r="F54" s="33" t="n">
        <f aca="false">IF(D54&lt;=0,0,ROUND(D54*C54/12,0))</f>
        <v>14777</v>
      </c>
      <c r="G54" s="33" t="n">
        <f aca="false">E54-F54</f>
        <v>11258</v>
      </c>
      <c r="H54" s="33" t="n">
        <f aca="false">IF(D54&lt;=0,0,MIN(SUMIF('Loan Details'!$G$6:$G$20,A54,'Loan Details'!$H$6:$H$20),D54-G54))</f>
        <v>0</v>
      </c>
      <c r="I54" s="33" t="n">
        <f aca="false">MAX(0,D54-G54-H54)</f>
        <v>2138153</v>
      </c>
      <c r="J54" s="33" t="n">
        <f aca="false">IF(D54&lt;=0,0,IF(AND('Loan Details'!$B$10="Keep tenure, change EMI",OR(C54&lt;&gt;C53,H53&gt;0)),ROUND(PMT(C54/12,MAX(1,'Loan Details'!$B$8-A54+1),-D54),0),J53))</f>
        <v>26035</v>
      </c>
    </row>
    <row r="55" customFormat="false" ht="15" hidden="false" customHeight="true" outlineLevel="0" collapsed="false">
      <c r="A55" s="24" t="n">
        <f aca="false">51</f>
        <v>51</v>
      </c>
      <c r="B55" s="32" t="n">
        <f aca="false">EDATE('Loan Details'!$B$9,50)</f>
        <v>47669</v>
      </c>
      <c r="C55" s="25" t="n">
        <f aca="false">LOOKUP(A55,'Loan Details'!$J$6:$J$14,'Loan Details'!$K$6:$K$14)</f>
        <v>0.0825</v>
      </c>
      <c r="D55" s="33" t="n">
        <f aca="false">I54</f>
        <v>2138153</v>
      </c>
      <c r="E55" s="33" t="n">
        <f aca="false">IF(D55&lt;=0,0,MIN(J55,D55+F55))</f>
        <v>26035</v>
      </c>
      <c r="F55" s="33" t="n">
        <f aca="false">IF(D55&lt;=0,0,ROUND(D55*C55/12,0))</f>
        <v>14700</v>
      </c>
      <c r="G55" s="33" t="n">
        <f aca="false">E55-F55</f>
        <v>11335</v>
      </c>
      <c r="H55" s="33" t="n">
        <f aca="false">IF(D55&lt;=0,0,MIN(SUMIF('Loan Details'!$G$6:$G$20,A55,'Loan Details'!$H$6:$H$20),D55-G55))</f>
        <v>0</v>
      </c>
      <c r="I55" s="33" t="n">
        <f aca="false">MAX(0,D55-G55-H55)</f>
        <v>2126818</v>
      </c>
      <c r="J55" s="33" t="n">
        <f aca="false">IF(D55&lt;=0,0,IF(AND('Loan Details'!$B$10="Keep tenure, change EMI",OR(C55&lt;&gt;C54,H54&gt;0)),ROUND(PMT(C55/12,MAX(1,'Loan Details'!$B$8-A55+1),-D55),0),J54))</f>
        <v>26035</v>
      </c>
    </row>
    <row r="56" customFormat="false" ht="15" hidden="false" customHeight="true" outlineLevel="0" collapsed="false">
      <c r="A56" s="24" t="n">
        <f aca="false">52</f>
        <v>52</v>
      </c>
      <c r="B56" s="32" t="n">
        <f aca="false">EDATE('Loan Details'!$B$9,51)</f>
        <v>47700</v>
      </c>
      <c r="C56" s="25" t="n">
        <f aca="false">LOOKUP(A56,'Loan Details'!$J$6:$J$14,'Loan Details'!$K$6:$K$14)</f>
        <v>0.0825</v>
      </c>
      <c r="D56" s="33" t="n">
        <f aca="false">I55</f>
        <v>2126818</v>
      </c>
      <c r="E56" s="33" t="n">
        <f aca="false">IF(D56&lt;=0,0,MIN(J56,D56+F56))</f>
        <v>26035</v>
      </c>
      <c r="F56" s="33" t="n">
        <f aca="false">IF(D56&lt;=0,0,ROUND(D56*C56/12,0))</f>
        <v>14622</v>
      </c>
      <c r="G56" s="33" t="n">
        <f aca="false">E56-F56</f>
        <v>11413</v>
      </c>
      <c r="H56" s="33" t="n">
        <f aca="false">IF(D56&lt;=0,0,MIN(SUMIF('Loan Details'!$G$6:$G$20,A56,'Loan Details'!$H$6:$H$20),D56-G56))</f>
        <v>0</v>
      </c>
      <c r="I56" s="33" t="n">
        <f aca="false">MAX(0,D56-G56-H56)</f>
        <v>2115405</v>
      </c>
      <c r="J56" s="33" t="n">
        <f aca="false">IF(D56&lt;=0,0,IF(AND('Loan Details'!$B$10="Keep tenure, change EMI",OR(C56&lt;&gt;C55,H55&gt;0)),ROUND(PMT(C56/12,MAX(1,'Loan Details'!$B$8-A56+1),-D56),0),J55))</f>
        <v>26035</v>
      </c>
    </row>
    <row r="57" customFormat="false" ht="15" hidden="false" customHeight="true" outlineLevel="0" collapsed="false">
      <c r="A57" s="24" t="n">
        <f aca="false">53</f>
        <v>53</v>
      </c>
      <c r="B57" s="32" t="n">
        <f aca="false">EDATE('Loan Details'!$B$9,52)</f>
        <v>47731</v>
      </c>
      <c r="C57" s="25" t="n">
        <f aca="false">LOOKUP(A57,'Loan Details'!$J$6:$J$14,'Loan Details'!$K$6:$K$14)</f>
        <v>0.0825</v>
      </c>
      <c r="D57" s="33" t="n">
        <f aca="false">I56</f>
        <v>2115405</v>
      </c>
      <c r="E57" s="33" t="n">
        <f aca="false">IF(D57&lt;=0,0,MIN(J57,D57+F57))</f>
        <v>26035</v>
      </c>
      <c r="F57" s="33" t="n">
        <f aca="false">IF(D57&lt;=0,0,ROUND(D57*C57/12,0))</f>
        <v>14543</v>
      </c>
      <c r="G57" s="33" t="n">
        <f aca="false">E57-F57</f>
        <v>11492</v>
      </c>
      <c r="H57" s="33" t="n">
        <f aca="false">IF(D57&lt;=0,0,MIN(SUMIF('Loan Details'!$G$6:$G$20,A57,'Loan Details'!$H$6:$H$20),D57-G57))</f>
        <v>0</v>
      </c>
      <c r="I57" s="33" t="n">
        <f aca="false">MAX(0,D57-G57-H57)</f>
        <v>2103913</v>
      </c>
      <c r="J57" s="33" t="n">
        <f aca="false">IF(D57&lt;=0,0,IF(AND('Loan Details'!$B$10="Keep tenure, change EMI",OR(C57&lt;&gt;C56,H56&gt;0)),ROUND(PMT(C57/12,MAX(1,'Loan Details'!$B$8-A57+1),-D57),0),J56))</f>
        <v>26035</v>
      </c>
    </row>
    <row r="58" customFormat="false" ht="15" hidden="false" customHeight="true" outlineLevel="0" collapsed="false">
      <c r="A58" s="24" t="n">
        <f aca="false">54</f>
        <v>54</v>
      </c>
      <c r="B58" s="32" t="n">
        <f aca="false">EDATE('Loan Details'!$B$9,53)</f>
        <v>47761</v>
      </c>
      <c r="C58" s="25" t="n">
        <f aca="false">LOOKUP(A58,'Loan Details'!$J$6:$J$14,'Loan Details'!$K$6:$K$14)</f>
        <v>0.0825</v>
      </c>
      <c r="D58" s="33" t="n">
        <f aca="false">I57</f>
        <v>2103913</v>
      </c>
      <c r="E58" s="33" t="n">
        <f aca="false">IF(D58&lt;=0,0,MIN(J58,D58+F58))</f>
        <v>26035</v>
      </c>
      <c r="F58" s="33" t="n">
        <f aca="false">IF(D58&lt;=0,0,ROUND(D58*C58/12,0))</f>
        <v>14464</v>
      </c>
      <c r="G58" s="33" t="n">
        <f aca="false">E58-F58</f>
        <v>11571</v>
      </c>
      <c r="H58" s="33" t="n">
        <f aca="false">IF(D58&lt;=0,0,MIN(SUMIF('Loan Details'!$G$6:$G$20,A58,'Loan Details'!$H$6:$H$20),D58-G58))</f>
        <v>0</v>
      </c>
      <c r="I58" s="33" t="n">
        <f aca="false">MAX(0,D58-G58-H58)</f>
        <v>2092342</v>
      </c>
      <c r="J58" s="33" t="n">
        <f aca="false">IF(D58&lt;=0,0,IF(AND('Loan Details'!$B$10="Keep tenure, change EMI",OR(C58&lt;&gt;C57,H57&gt;0)),ROUND(PMT(C58/12,MAX(1,'Loan Details'!$B$8-A58+1),-D58),0),J57))</f>
        <v>26035</v>
      </c>
    </row>
    <row r="59" customFormat="false" ht="15" hidden="false" customHeight="true" outlineLevel="0" collapsed="false">
      <c r="A59" s="24" t="n">
        <f aca="false">55</f>
        <v>55</v>
      </c>
      <c r="B59" s="32" t="n">
        <f aca="false">EDATE('Loan Details'!$B$9,54)</f>
        <v>47792</v>
      </c>
      <c r="C59" s="25" t="n">
        <f aca="false">LOOKUP(A59,'Loan Details'!$J$6:$J$14,'Loan Details'!$K$6:$K$14)</f>
        <v>0.0825</v>
      </c>
      <c r="D59" s="33" t="n">
        <f aca="false">I58</f>
        <v>2092342</v>
      </c>
      <c r="E59" s="33" t="n">
        <f aca="false">IF(D59&lt;=0,0,MIN(J59,D59+F59))</f>
        <v>26035</v>
      </c>
      <c r="F59" s="33" t="n">
        <f aca="false">IF(D59&lt;=0,0,ROUND(D59*C59/12,0))</f>
        <v>14385</v>
      </c>
      <c r="G59" s="33" t="n">
        <f aca="false">E59-F59</f>
        <v>11650</v>
      </c>
      <c r="H59" s="33" t="n">
        <f aca="false">IF(D59&lt;=0,0,MIN(SUMIF('Loan Details'!$G$6:$G$20,A59,'Loan Details'!$H$6:$H$20),D59-G59))</f>
        <v>0</v>
      </c>
      <c r="I59" s="33" t="n">
        <f aca="false">MAX(0,D59-G59-H59)</f>
        <v>2080692</v>
      </c>
      <c r="J59" s="33" t="n">
        <f aca="false">IF(D59&lt;=0,0,IF(AND('Loan Details'!$B$10="Keep tenure, change EMI",OR(C59&lt;&gt;C58,H58&gt;0)),ROUND(PMT(C59/12,MAX(1,'Loan Details'!$B$8-A59+1),-D59),0),J58))</f>
        <v>26035</v>
      </c>
    </row>
    <row r="60" customFormat="false" ht="15" hidden="false" customHeight="true" outlineLevel="0" collapsed="false">
      <c r="A60" s="24" t="n">
        <f aca="false">56</f>
        <v>56</v>
      </c>
      <c r="B60" s="32" t="n">
        <f aca="false">EDATE('Loan Details'!$B$9,55)</f>
        <v>47822</v>
      </c>
      <c r="C60" s="25" t="n">
        <f aca="false">LOOKUP(A60,'Loan Details'!$J$6:$J$14,'Loan Details'!$K$6:$K$14)</f>
        <v>0.0825</v>
      </c>
      <c r="D60" s="33" t="n">
        <f aca="false">I59</f>
        <v>2080692</v>
      </c>
      <c r="E60" s="33" t="n">
        <f aca="false">IF(D60&lt;=0,0,MIN(J60,D60+F60))</f>
        <v>26035</v>
      </c>
      <c r="F60" s="33" t="n">
        <f aca="false">IF(D60&lt;=0,0,ROUND(D60*C60/12,0))</f>
        <v>14305</v>
      </c>
      <c r="G60" s="33" t="n">
        <f aca="false">E60-F60</f>
        <v>11730</v>
      </c>
      <c r="H60" s="33" t="n">
        <f aca="false">IF(D60&lt;=0,0,MIN(SUMIF('Loan Details'!$G$6:$G$20,A60,'Loan Details'!$H$6:$H$20),D60-G60))</f>
        <v>0</v>
      </c>
      <c r="I60" s="33" t="n">
        <f aca="false">MAX(0,D60-G60-H60)</f>
        <v>2068962</v>
      </c>
      <c r="J60" s="33" t="n">
        <f aca="false">IF(D60&lt;=0,0,IF(AND('Loan Details'!$B$10="Keep tenure, change EMI",OR(C60&lt;&gt;C59,H59&gt;0)),ROUND(PMT(C60/12,MAX(1,'Loan Details'!$B$8-A60+1),-D60),0),J59))</f>
        <v>26035</v>
      </c>
    </row>
    <row r="61" customFormat="false" ht="15" hidden="false" customHeight="true" outlineLevel="0" collapsed="false">
      <c r="A61" s="24" t="n">
        <f aca="false">57</f>
        <v>57</v>
      </c>
      <c r="B61" s="32" t="n">
        <f aca="false">EDATE('Loan Details'!$B$9,56)</f>
        <v>47853</v>
      </c>
      <c r="C61" s="25" t="n">
        <f aca="false">LOOKUP(A61,'Loan Details'!$J$6:$J$14,'Loan Details'!$K$6:$K$14)</f>
        <v>0.0825</v>
      </c>
      <c r="D61" s="33" t="n">
        <f aca="false">I60</f>
        <v>2068962</v>
      </c>
      <c r="E61" s="33" t="n">
        <f aca="false">IF(D61&lt;=0,0,MIN(J61,D61+F61))</f>
        <v>26035</v>
      </c>
      <c r="F61" s="33" t="n">
        <f aca="false">IF(D61&lt;=0,0,ROUND(D61*C61/12,0))</f>
        <v>14224</v>
      </c>
      <c r="G61" s="33" t="n">
        <f aca="false">E61-F61</f>
        <v>11811</v>
      </c>
      <c r="H61" s="33" t="n">
        <f aca="false">IF(D61&lt;=0,0,MIN(SUMIF('Loan Details'!$G$6:$G$20,A61,'Loan Details'!$H$6:$H$20),D61-G61))</f>
        <v>0</v>
      </c>
      <c r="I61" s="33" t="n">
        <f aca="false">MAX(0,D61-G61-H61)</f>
        <v>2057151</v>
      </c>
      <c r="J61" s="33" t="n">
        <f aca="false">IF(D61&lt;=0,0,IF(AND('Loan Details'!$B$10="Keep tenure, change EMI",OR(C61&lt;&gt;C60,H60&gt;0)),ROUND(PMT(C61/12,MAX(1,'Loan Details'!$B$8-A61+1),-D61),0),J60))</f>
        <v>26035</v>
      </c>
    </row>
    <row r="62" customFormat="false" ht="15" hidden="false" customHeight="true" outlineLevel="0" collapsed="false">
      <c r="A62" s="24" t="n">
        <f aca="false">58</f>
        <v>58</v>
      </c>
      <c r="B62" s="32" t="n">
        <f aca="false">EDATE('Loan Details'!$B$9,57)</f>
        <v>47884</v>
      </c>
      <c r="C62" s="25" t="n">
        <f aca="false">LOOKUP(A62,'Loan Details'!$J$6:$J$14,'Loan Details'!$K$6:$K$14)</f>
        <v>0.0825</v>
      </c>
      <c r="D62" s="33" t="n">
        <f aca="false">I61</f>
        <v>2057151</v>
      </c>
      <c r="E62" s="33" t="n">
        <f aca="false">IF(D62&lt;=0,0,MIN(J62,D62+F62))</f>
        <v>26035</v>
      </c>
      <c r="F62" s="33" t="n">
        <f aca="false">IF(D62&lt;=0,0,ROUND(D62*C62/12,0))</f>
        <v>14143</v>
      </c>
      <c r="G62" s="33" t="n">
        <f aca="false">E62-F62</f>
        <v>11892</v>
      </c>
      <c r="H62" s="33" t="n">
        <f aca="false">IF(D62&lt;=0,0,MIN(SUMIF('Loan Details'!$G$6:$G$20,A62,'Loan Details'!$H$6:$H$20),D62-G62))</f>
        <v>0</v>
      </c>
      <c r="I62" s="33" t="n">
        <f aca="false">MAX(0,D62-G62-H62)</f>
        <v>2045259</v>
      </c>
      <c r="J62" s="33" t="n">
        <f aca="false">IF(D62&lt;=0,0,IF(AND('Loan Details'!$B$10="Keep tenure, change EMI",OR(C62&lt;&gt;C61,H61&gt;0)),ROUND(PMT(C62/12,MAX(1,'Loan Details'!$B$8-A62+1),-D62),0),J61))</f>
        <v>26035</v>
      </c>
    </row>
    <row r="63" customFormat="false" ht="15" hidden="false" customHeight="true" outlineLevel="0" collapsed="false">
      <c r="A63" s="24" t="n">
        <f aca="false">59</f>
        <v>59</v>
      </c>
      <c r="B63" s="32" t="n">
        <f aca="false">EDATE('Loan Details'!$B$9,58)</f>
        <v>47912</v>
      </c>
      <c r="C63" s="25" t="n">
        <f aca="false">LOOKUP(A63,'Loan Details'!$J$6:$J$14,'Loan Details'!$K$6:$K$14)</f>
        <v>0.0825</v>
      </c>
      <c r="D63" s="33" t="n">
        <f aca="false">I62</f>
        <v>2045259</v>
      </c>
      <c r="E63" s="33" t="n">
        <f aca="false">IF(D63&lt;=0,0,MIN(J63,D63+F63))</f>
        <v>26035</v>
      </c>
      <c r="F63" s="33" t="n">
        <f aca="false">IF(D63&lt;=0,0,ROUND(D63*C63/12,0))</f>
        <v>14061</v>
      </c>
      <c r="G63" s="33" t="n">
        <f aca="false">E63-F63</f>
        <v>11974</v>
      </c>
      <c r="H63" s="33" t="n">
        <f aca="false">IF(D63&lt;=0,0,MIN(SUMIF('Loan Details'!$G$6:$G$20,A63,'Loan Details'!$H$6:$H$20),D63-G63))</f>
        <v>0</v>
      </c>
      <c r="I63" s="33" t="n">
        <f aca="false">MAX(0,D63-G63-H63)</f>
        <v>2033285</v>
      </c>
      <c r="J63" s="33" t="n">
        <f aca="false">IF(D63&lt;=0,0,IF(AND('Loan Details'!$B$10="Keep tenure, change EMI",OR(C63&lt;&gt;C62,H62&gt;0)),ROUND(PMT(C63/12,MAX(1,'Loan Details'!$B$8-A63+1),-D63),0),J62))</f>
        <v>26035</v>
      </c>
    </row>
    <row r="64" customFormat="false" ht="15" hidden="false" customHeight="true" outlineLevel="0" collapsed="false">
      <c r="A64" s="24" t="n">
        <f aca="false">60</f>
        <v>60</v>
      </c>
      <c r="B64" s="32" t="n">
        <f aca="false">EDATE('Loan Details'!$B$9,59)</f>
        <v>47943</v>
      </c>
      <c r="C64" s="25" t="n">
        <f aca="false">LOOKUP(A64,'Loan Details'!$J$6:$J$14,'Loan Details'!$K$6:$K$14)</f>
        <v>0.0825</v>
      </c>
      <c r="D64" s="33" t="n">
        <f aca="false">I63</f>
        <v>2033285</v>
      </c>
      <c r="E64" s="33" t="n">
        <f aca="false">IF(D64&lt;=0,0,MIN(J64,D64+F64))</f>
        <v>26035</v>
      </c>
      <c r="F64" s="33" t="n">
        <f aca="false">IF(D64&lt;=0,0,ROUND(D64*C64/12,0))</f>
        <v>13979</v>
      </c>
      <c r="G64" s="33" t="n">
        <f aca="false">E64-F64</f>
        <v>12056</v>
      </c>
      <c r="H64" s="33" t="n">
        <f aca="false">IF(D64&lt;=0,0,MIN(SUMIF('Loan Details'!$G$6:$G$20,A64,'Loan Details'!$H$6:$H$20),D64-G64))</f>
        <v>0</v>
      </c>
      <c r="I64" s="33" t="n">
        <f aca="false">MAX(0,D64-G64-H64)</f>
        <v>2021229</v>
      </c>
      <c r="J64" s="33" t="n">
        <f aca="false">IF(D64&lt;=0,0,IF(AND('Loan Details'!$B$10="Keep tenure, change EMI",OR(C64&lt;&gt;C63,H63&gt;0)),ROUND(PMT(C64/12,MAX(1,'Loan Details'!$B$8-A64+1),-D64),0),J63))</f>
        <v>26035</v>
      </c>
    </row>
    <row r="65" customFormat="false" ht="15" hidden="false" customHeight="true" outlineLevel="0" collapsed="false">
      <c r="A65" s="24" t="n">
        <f aca="false">61</f>
        <v>61</v>
      </c>
      <c r="B65" s="32" t="n">
        <f aca="false">EDATE('Loan Details'!$B$9,60)</f>
        <v>47973</v>
      </c>
      <c r="C65" s="25" t="n">
        <f aca="false">LOOKUP(A65,'Loan Details'!$J$6:$J$14,'Loan Details'!$K$6:$K$14)</f>
        <v>0.0825</v>
      </c>
      <c r="D65" s="33" t="n">
        <f aca="false">I64</f>
        <v>2021229</v>
      </c>
      <c r="E65" s="33" t="n">
        <f aca="false">IF(D65&lt;=0,0,MIN(J65,D65+F65))</f>
        <v>26035</v>
      </c>
      <c r="F65" s="33" t="n">
        <f aca="false">IF(D65&lt;=0,0,ROUND(D65*C65/12,0))</f>
        <v>13896</v>
      </c>
      <c r="G65" s="33" t="n">
        <f aca="false">E65-F65</f>
        <v>12139</v>
      </c>
      <c r="H65" s="33" t="n">
        <f aca="false">IF(D65&lt;=0,0,MIN(SUMIF('Loan Details'!$G$6:$G$20,A65,'Loan Details'!$H$6:$H$20),D65-G65))</f>
        <v>0</v>
      </c>
      <c r="I65" s="33" t="n">
        <f aca="false">MAX(0,D65-G65-H65)</f>
        <v>2009090</v>
      </c>
      <c r="J65" s="33" t="n">
        <f aca="false">IF(D65&lt;=0,0,IF(AND('Loan Details'!$B$10="Keep tenure, change EMI",OR(C65&lt;&gt;C64,H64&gt;0)),ROUND(PMT(C65/12,MAX(1,'Loan Details'!$B$8-A65+1),-D65),0),J64))</f>
        <v>26035</v>
      </c>
    </row>
    <row r="66" customFormat="false" ht="15" hidden="false" customHeight="true" outlineLevel="0" collapsed="false">
      <c r="A66" s="24" t="n">
        <f aca="false">62</f>
        <v>62</v>
      </c>
      <c r="B66" s="32" t="n">
        <f aca="false">EDATE('Loan Details'!$B$9,61)</f>
        <v>48004</v>
      </c>
      <c r="C66" s="25" t="n">
        <f aca="false">LOOKUP(A66,'Loan Details'!$J$6:$J$14,'Loan Details'!$K$6:$K$14)</f>
        <v>0.0825</v>
      </c>
      <c r="D66" s="33" t="n">
        <f aca="false">I65</f>
        <v>2009090</v>
      </c>
      <c r="E66" s="33" t="n">
        <f aca="false">IF(D66&lt;=0,0,MIN(J66,D66+F66))</f>
        <v>26035</v>
      </c>
      <c r="F66" s="33" t="n">
        <f aca="false">IF(D66&lt;=0,0,ROUND(D66*C66/12,0))</f>
        <v>13812</v>
      </c>
      <c r="G66" s="33" t="n">
        <f aca="false">E66-F66</f>
        <v>12223</v>
      </c>
      <c r="H66" s="33" t="n">
        <f aca="false">IF(D66&lt;=0,0,MIN(SUMIF('Loan Details'!$G$6:$G$20,A66,'Loan Details'!$H$6:$H$20),D66-G66))</f>
        <v>0</v>
      </c>
      <c r="I66" s="33" t="n">
        <f aca="false">MAX(0,D66-G66-H66)</f>
        <v>1996867</v>
      </c>
      <c r="J66" s="33" t="n">
        <f aca="false">IF(D66&lt;=0,0,IF(AND('Loan Details'!$B$10="Keep tenure, change EMI",OR(C66&lt;&gt;C65,H65&gt;0)),ROUND(PMT(C66/12,MAX(1,'Loan Details'!$B$8-A66+1),-D66),0),J65))</f>
        <v>26035</v>
      </c>
    </row>
    <row r="67" customFormat="false" ht="15" hidden="false" customHeight="true" outlineLevel="0" collapsed="false">
      <c r="A67" s="24" t="n">
        <f aca="false">63</f>
        <v>63</v>
      </c>
      <c r="B67" s="32" t="n">
        <f aca="false">EDATE('Loan Details'!$B$9,62)</f>
        <v>48034</v>
      </c>
      <c r="C67" s="25" t="n">
        <f aca="false">LOOKUP(A67,'Loan Details'!$J$6:$J$14,'Loan Details'!$K$6:$K$14)</f>
        <v>0.0825</v>
      </c>
      <c r="D67" s="33" t="n">
        <f aca="false">I66</f>
        <v>1996867</v>
      </c>
      <c r="E67" s="33" t="n">
        <f aca="false">IF(D67&lt;=0,0,MIN(J67,D67+F67))</f>
        <v>26035</v>
      </c>
      <c r="F67" s="33" t="n">
        <f aca="false">IF(D67&lt;=0,0,ROUND(D67*C67/12,0))</f>
        <v>13728</v>
      </c>
      <c r="G67" s="33" t="n">
        <f aca="false">E67-F67</f>
        <v>12307</v>
      </c>
      <c r="H67" s="33" t="n">
        <f aca="false">IF(D67&lt;=0,0,MIN(SUMIF('Loan Details'!$G$6:$G$20,A67,'Loan Details'!$H$6:$H$20),D67-G67))</f>
        <v>0</v>
      </c>
      <c r="I67" s="33" t="n">
        <f aca="false">MAX(0,D67-G67-H67)</f>
        <v>1984560</v>
      </c>
      <c r="J67" s="33" t="n">
        <f aca="false">IF(D67&lt;=0,0,IF(AND('Loan Details'!$B$10="Keep tenure, change EMI",OR(C67&lt;&gt;C66,H66&gt;0)),ROUND(PMT(C67/12,MAX(1,'Loan Details'!$B$8-A67+1),-D67),0),J66))</f>
        <v>26035</v>
      </c>
    </row>
    <row r="68" customFormat="false" ht="15" hidden="false" customHeight="true" outlineLevel="0" collapsed="false">
      <c r="A68" s="24" t="n">
        <f aca="false">64</f>
        <v>64</v>
      </c>
      <c r="B68" s="32" t="n">
        <f aca="false">EDATE('Loan Details'!$B$9,63)</f>
        <v>48065</v>
      </c>
      <c r="C68" s="25" t="n">
        <f aca="false">LOOKUP(A68,'Loan Details'!$J$6:$J$14,'Loan Details'!$K$6:$K$14)</f>
        <v>0.0825</v>
      </c>
      <c r="D68" s="33" t="n">
        <f aca="false">I67</f>
        <v>1984560</v>
      </c>
      <c r="E68" s="33" t="n">
        <f aca="false">IF(D68&lt;=0,0,MIN(J68,D68+F68))</f>
        <v>26035</v>
      </c>
      <c r="F68" s="33" t="n">
        <f aca="false">IF(D68&lt;=0,0,ROUND(D68*C68/12,0))</f>
        <v>13644</v>
      </c>
      <c r="G68" s="33" t="n">
        <f aca="false">E68-F68</f>
        <v>12391</v>
      </c>
      <c r="H68" s="33" t="n">
        <f aca="false">IF(D68&lt;=0,0,MIN(SUMIF('Loan Details'!$G$6:$G$20,A68,'Loan Details'!$H$6:$H$20),D68-G68))</f>
        <v>0</v>
      </c>
      <c r="I68" s="33" t="n">
        <f aca="false">MAX(0,D68-G68-H68)</f>
        <v>1972169</v>
      </c>
      <c r="J68" s="33" t="n">
        <f aca="false">IF(D68&lt;=0,0,IF(AND('Loan Details'!$B$10="Keep tenure, change EMI",OR(C68&lt;&gt;C67,H67&gt;0)),ROUND(PMT(C68/12,MAX(1,'Loan Details'!$B$8-A68+1),-D68),0),J67))</f>
        <v>26035</v>
      </c>
    </row>
    <row r="69" customFormat="false" ht="15" hidden="false" customHeight="true" outlineLevel="0" collapsed="false">
      <c r="A69" s="24" t="n">
        <f aca="false">65</f>
        <v>65</v>
      </c>
      <c r="B69" s="32" t="n">
        <f aca="false">EDATE('Loan Details'!$B$9,64)</f>
        <v>48096</v>
      </c>
      <c r="C69" s="25" t="n">
        <f aca="false">LOOKUP(A69,'Loan Details'!$J$6:$J$14,'Loan Details'!$K$6:$K$14)</f>
        <v>0.0825</v>
      </c>
      <c r="D69" s="33" t="n">
        <f aca="false">I68</f>
        <v>1972169</v>
      </c>
      <c r="E69" s="33" t="n">
        <f aca="false">IF(D69&lt;=0,0,MIN(J69,D69+F69))</f>
        <v>26035</v>
      </c>
      <c r="F69" s="33" t="n">
        <f aca="false">IF(D69&lt;=0,0,ROUND(D69*C69/12,0))</f>
        <v>13559</v>
      </c>
      <c r="G69" s="33" t="n">
        <f aca="false">E69-F69</f>
        <v>12476</v>
      </c>
      <c r="H69" s="33" t="n">
        <f aca="false">IF(D69&lt;=0,0,MIN(SUMIF('Loan Details'!$G$6:$G$20,A69,'Loan Details'!$H$6:$H$20),D69-G69))</f>
        <v>0</v>
      </c>
      <c r="I69" s="33" t="n">
        <f aca="false">MAX(0,D69-G69-H69)</f>
        <v>1959693</v>
      </c>
      <c r="J69" s="33" t="n">
        <f aca="false">IF(D69&lt;=0,0,IF(AND('Loan Details'!$B$10="Keep tenure, change EMI",OR(C69&lt;&gt;C68,H68&gt;0)),ROUND(PMT(C69/12,MAX(1,'Loan Details'!$B$8-A69+1),-D69),0),J68))</f>
        <v>26035</v>
      </c>
    </row>
    <row r="70" customFormat="false" ht="15" hidden="false" customHeight="true" outlineLevel="0" collapsed="false">
      <c r="A70" s="24" t="n">
        <f aca="false">66</f>
        <v>66</v>
      </c>
      <c r="B70" s="32" t="n">
        <f aca="false">EDATE('Loan Details'!$B$9,65)</f>
        <v>48126</v>
      </c>
      <c r="C70" s="25" t="n">
        <f aca="false">LOOKUP(A70,'Loan Details'!$J$6:$J$14,'Loan Details'!$K$6:$K$14)</f>
        <v>0.0825</v>
      </c>
      <c r="D70" s="33" t="n">
        <f aca="false">I69</f>
        <v>1959693</v>
      </c>
      <c r="E70" s="33" t="n">
        <f aca="false">IF(D70&lt;=0,0,MIN(J70,D70+F70))</f>
        <v>26035</v>
      </c>
      <c r="F70" s="33" t="n">
        <f aca="false">IF(D70&lt;=0,0,ROUND(D70*C70/12,0))</f>
        <v>13473</v>
      </c>
      <c r="G70" s="33" t="n">
        <f aca="false">E70-F70</f>
        <v>12562</v>
      </c>
      <c r="H70" s="33" t="n">
        <f aca="false">IF(D70&lt;=0,0,MIN(SUMIF('Loan Details'!$G$6:$G$20,A70,'Loan Details'!$H$6:$H$20),D70-G70))</f>
        <v>0</v>
      </c>
      <c r="I70" s="33" t="n">
        <f aca="false">MAX(0,D70-G70-H70)</f>
        <v>1947131</v>
      </c>
      <c r="J70" s="33" t="n">
        <f aca="false">IF(D70&lt;=0,0,IF(AND('Loan Details'!$B$10="Keep tenure, change EMI",OR(C70&lt;&gt;C69,H69&gt;0)),ROUND(PMT(C70/12,MAX(1,'Loan Details'!$B$8-A70+1),-D70),0),J69))</f>
        <v>26035</v>
      </c>
    </row>
    <row r="71" customFormat="false" ht="15" hidden="false" customHeight="true" outlineLevel="0" collapsed="false">
      <c r="A71" s="24" t="n">
        <f aca="false">67</f>
        <v>67</v>
      </c>
      <c r="B71" s="32" t="n">
        <f aca="false">EDATE('Loan Details'!$B$9,66)</f>
        <v>48157</v>
      </c>
      <c r="C71" s="25" t="n">
        <f aca="false">LOOKUP(A71,'Loan Details'!$J$6:$J$14,'Loan Details'!$K$6:$K$14)</f>
        <v>0.0825</v>
      </c>
      <c r="D71" s="33" t="n">
        <f aca="false">I70</f>
        <v>1947131</v>
      </c>
      <c r="E71" s="33" t="n">
        <f aca="false">IF(D71&lt;=0,0,MIN(J71,D71+F71))</f>
        <v>26035</v>
      </c>
      <c r="F71" s="33" t="n">
        <f aca="false">IF(D71&lt;=0,0,ROUND(D71*C71/12,0))</f>
        <v>13387</v>
      </c>
      <c r="G71" s="33" t="n">
        <f aca="false">E71-F71</f>
        <v>12648</v>
      </c>
      <c r="H71" s="33" t="n">
        <f aca="false">IF(D71&lt;=0,0,MIN(SUMIF('Loan Details'!$G$6:$G$20,A71,'Loan Details'!$H$6:$H$20),D71-G71))</f>
        <v>0</v>
      </c>
      <c r="I71" s="33" t="n">
        <f aca="false">MAX(0,D71-G71-H71)</f>
        <v>1934483</v>
      </c>
      <c r="J71" s="33" t="n">
        <f aca="false">IF(D71&lt;=0,0,IF(AND('Loan Details'!$B$10="Keep tenure, change EMI",OR(C71&lt;&gt;C70,H70&gt;0)),ROUND(PMT(C71/12,MAX(1,'Loan Details'!$B$8-A71+1),-D71),0),J70))</f>
        <v>26035</v>
      </c>
    </row>
    <row r="72" customFormat="false" ht="15" hidden="false" customHeight="true" outlineLevel="0" collapsed="false">
      <c r="A72" s="24" t="n">
        <f aca="false">68</f>
        <v>68</v>
      </c>
      <c r="B72" s="32" t="n">
        <f aca="false">EDATE('Loan Details'!$B$9,67)</f>
        <v>48187</v>
      </c>
      <c r="C72" s="25" t="n">
        <f aca="false">LOOKUP(A72,'Loan Details'!$J$6:$J$14,'Loan Details'!$K$6:$K$14)</f>
        <v>0.0825</v>
      </c>
      <c r="D72" s="33" t="n">
        <f aca="false">I71</f>
        <v>1934483</v>
      </c>
      <c r="E72" s="33" t="n">
        <f aca="false">IF(D72&lt;=0,0,MIN(J72,D72+F72))</f>
        <v>26035</v>
      </c>
      <c r="F72" s="33" t="n">
        <f aca="false">IF(D72&lt;=0,0,ROUND(D72*C72/12,0))</f>
        <v>13300</v>
      </c>
      <c r="G72" s="33" t="n">
        <f aca="false">E72-F72</f>
        <v>12735</v>
      </c>
      <c r="H72" s="33" t="n">
        <f aca="false">IF(D72&lt;=0,0,MIN(SUMIF('Loan Details'!$G$6:$G$20,A72,'Loan Details'!$H$6:$H$20),D72-G72))</f>
        <v>0</v>
      </c>
      <c r="I72" s="33" t="n">
        <f aca="false">MAX(0,D72-G72-H72)</f>
        <v>1921748</v>
      </c>
      <c r="J72" s="33" t="n">
        <f aca="false">IF(D72&lt;=0,0,IF(AND('Loan Details'!$B$10="Keep tenure, change EMI",OR(C72&lt;&gt;C71,H71&gt;0)),ROUND(PMT(C72/12,MAX(1,'Loan Details'!$B$8-A72+1),-D72),0),J71))</f>
        <v>26035</v>
      </c>
    </row>
    <row r="73" customFormat="false" ht="15" hidden="false" customHeight="true" outlineLevel="0" collapsed="false">
      <c r="A73" s="24" t="n">
        <f aca="false">69</f>
        <v>69</v>
      </c>
      <c r="B73" s="32" t="n">
        <f aca="false">EDATE('Loan Details'!$B$9,68)</f>
        <v>48218</v>
      </c>
      <c r="C73" s="25" t="n">
        <f aca="false">LOOKUP(A73,'Loan Details'!$J$6:$J$14,'Loan Details'!$K$6:$K$14)</f>
        <v>0.0825</v>
      </c>
      <c r="D73" s="33" t="n">
        <f aca="false">I72</f>
        <v>1921748</v>
      </c>
      <c r="E73" s="33" t="n">
        <f aca="false">IF(D73&lt;=0,0,MIN(J73,D73+F73))</f>
        <v>26035</v>
      </c>
      <c r="F73" s="33" t="n">
        <f aca="false">IF(D73&lt;=0,0,ROUND(D73*C73/12,0))</f>
        <v>13212</v>
      </c>
      <c r="G73" s="33" t="n">
        <f aca="false">E73-F73</f>
        <v>12823</v>
      </c>
      <c r="H73" s="33" t="n">
        <f aca="false">IF(D73&lt;=0,0,MIN(SUMIF('Loan Details'!$G$6:$G$20,A73,'Loan Details'!$H$6:$H$20),D73-G73))</f>
        <v>0</v>
      </c>
      <c r="I73" s="33" t="n">
        <f aca="false">MAX(0,D73-G73-H73)</f>
        <v>1908925</v>
      </c>
      <c r="J73" s="33" t="n">
        <f aca="false">IF(D73&lt;=0,0,IF(AND('Loan Details'!$B$10="Keep tenure, change EMI",OR(C73&lt;&gt;C72,H72&gt;0)),ROUND(PMT(C73/12,MAX(1,'Loan Details'!$B$8-A73+1),-D73),0),J72))</f>
        <v>26035</v>
      </c>
    </row>
    <row r="74" customFormat="false" ht="15" hidden="false" customHeight="true" outlineLevel="0" collapsed="false">
      <c r="A74" s="24" t="n">
        <f aca="false">70</f>
        <v>70</v>
      </c>
      <c r="B74" s="32" t="n">
        <f aca="false">EDATE('Loan Details'!$B$9,69)</f>
        <v>48249</v>
      </c>
      <c r="C74" s="25" t="n">
        <f aca="false">LOOKUP(A74,'Loan Details'!$J$6:$J$14,'Loan Details'!$K$6:$K$14)</f>
        <v>0.0825</v>
      </c>
      <c r="D74" s="33" t="n">
        <f aca="false">I73</f>
        <v>1908925</v>
      </c>
      <c r="E74" s="33" t="n">
        <f aca="false">IF(D74&lt;=0,0,MIN(J74,D74+F74))</f>
        <v>26035</v>
      </c>
      <c r="F74" s="33" t="n">
        <f aca="false">IF(D74&lt;=0,0,ROUND(D74*C74/12,0))</f>
        <v>13124</v>
      </c>
      <c r="G74" s="33" t="n">
        <f aca="false">E74-F74</f>
        <v>12911</v>
      </c>
      <c r="H74" s="33" t="n">
        <f aca="false">IF(D74&lt;=0,0,MIN(SUMIF('Loan Details'!$G$6:$G$20,A74,'Loan Details'!$H$6:$H$20),D74-G74))</f>
        <v>0</v>
      </c>
      <c r="I74" s="33" t="n">
        <f aca="false">MAX(0,D74-G74-H74)</f>
        <v>1896014</v>
      </c>
      <c r="J74" s="33" t="n">
        <f aca="false">IF(D74&lt;=0,0,IF(AND('Loan Details'!$B$10="Keep tenure, change EMI",OR(C74&lt;&gt;C73,H73&gt;0)),ROUND(PMT(C74/12,MAX(1,'Loan Details'!$B$8-A74+1),-D74),0),J73))</f>
        <v>26035</v>
      </c>
    </row>
    <row r="75" customFormat="false" ht="15" hidden="false" customHeight="true" outlineLevel="0" collapsed="false">
      <c r="A75" s="24" t="n">
        <f aca="false">71</f>
        <v>71</v>
      </c>
      <c r="B75" s="32" t="n">
        <f aca="false">EDATE('Loan Details'!$B$9,70)</f>
        <v>48278</v>
      </c>
      <c r="C75" s="25" t="n">
        <f aca="false">LOOKUP(A75,'Loan Details'!$J$6:$J$14,'Loan Details'!$K$6:$K$14)</f>
        <v>0.0825</v>
      </c>
      <c r="D75" s="33" t="n">
        <f aca="false">I74</f>
        <v>1896014</v>
      </c>
      <c r="E75" s="33" t="n">
        <f aca="false">IF(D75&lt;=0,0,MIN(J75,D75+F75))</f>
        <v>26035</v>
      </c>
      <c r="F75" s="33" t="n">
        <f aca="false">IF(D75&lt;=0,0,ROUND(D75*C75/12,0))</f>
        <v>13035</v>
      </c>
      <c r="G75" s="33" t="n">
        <f aca="false">E75-F75</f>
        <v>13000</v>
      </c>
      <c r="H75" s="33" t="n">
        <f aca="false">IF(D75&lt;=0,0,MIN(SUMIF('Loan Details'!$G$6:$G$20,A75,'Loan Details'!$H$6:$H$20),D75-G75))</f>
        <v>0</v>
      </c>
      <c r="I75" s="33" t="n">
        <f aca="false">MAX(0,D75-G75-H75)</f>
        <v>1883014</v>
      </c>
      <c r="J75" s="33" t="n">
        <f aca="false">IF(D75&lt;=0,0,IF(AND('Loan Details'!$B$10="Keep tenure, change EMI",OR(C75&lt;&gt;C74,H74&gt;0)),ROUND(PMT(C75/12,MAX(1,'Loan Details'!$B$8-A75+1),-D75),0),J74))</f>
        <v>26035</v>
      </c>
    </row>
    <row r="76" customFormat="false" ht="15" hidden="false" customHeight="true" outlineLevel="0" collapsed="false">
      <c r="A76" s="24" t="n">
        <f aca="false">72</f>
        <v>72</v>
      </c>
      <c r="B76" s="32" t="n">
        <f aca="false">EDATE('Loan Details'!$B$9,71)</f>
        <v>48309</v>
      </c>
      <c r="C76" s="25" t="n">
        <f aca="false">LOOKUP(A76,'Loan Details'!$J$6:$J$14,'Loan Details'!$K$6:$K$14)</f>
        <v>0.0825</v>
      </c>
      <c r="D76" s="33" t="n">
        <f aca="false">I75</f>
        <v>1883014</v>
      </c>
      <c r="E76" s="33" t="n">
        <f aca="false">IF(D76&lt;=0,0,MIN(J76,D76+F76))</f>
        <v>26035</v>
      </c>
      <c r="F76" s="33" t="n">
        <f aca="false">IF(D76&lt;=0,0,ROUND(D76*C76/12,0))</f>
        <v>12946</v>
      </c>
      <c r="G76" s="33" t="n">
        <f aca="false">E76-F76</f>
        <v>13089</v>
      </c>
      <c r="H76" s="33" t="n">
        <f aca="false">IF(D76&lt;=0,0,MIN(SUMIF('Loan Details'!$G$6:$G$20,A76,'Loan Details'!$H$6:$H$20),D76-G76))</f>
        <v>0</v>
      </c>
      <c r="I76" s="33" t="n">
        <f aca="false">MAX(0,D76-G76-H76)</f>
        <v>1869925</v>
      </c>
      <c r="J76" s="33" t="n">
        <f aca="false">IF(D76&lt;=0,0,IF(AND('Loan Details'!$B$10="Keep tenure, change EMI",OR(C76&lt;&gt;C75,H75&gt;0)),ROUND(PMT(C76/12,MAX(1,'Loan Details'!$B$8-A76+1),-D76),0),J75))</f>
        <v>26035</v>
      </c>
    </row>
    <row r="77" customFormat="false" ht="15" hidden="false" customHeight="true" outlineLevel="0" collapsed="false">
      <c r="A77" s="24" t="n">
        <f aca="false">73</f>
        <v>73</v>
      </c>
      <c r="B77" s="32" t="n">
        <f aca="false">EDATE('Loan Details'!$B$9,72)</f>
        <v>48339</v>
      </c>
      <c r="C77" s="25" t="n">
        <f aca="false">LOOKUP(A77,'Loan Details'!$J$6:$J$14,'Loan Details'!$K$6:$K$14)</f>
        <v>0.0825</v>
      </c>
      <c r="D77" s="33" t="n">
        <f aca="false">I76</f>
        <v>1869925</v>
      </c>
      <c r="E77" s="33" t="n">
        <f aca="false">IF(D77&lt;=0,0,MIN(J77,D77+F77))</f>
        <v>26035</v>
      </c>
      <c r="F77" s="33" t="n">
        <f aca="false">IF(D77&lt;=0,0,ROUND(D77*C77/12,0))</f>
        <v>12856</v>
      </c>
      <c r="G77" s="33" t="n">
        <f aca="false">E77-F77</f>
        <v>13179</v>
      </c>
      <c r="H77" s="33" t="n">
        <f aca="false">IF(D77&lt;=0,0,MIN(SUMIF('Loan Details'!$G$6:$G$20,A77,'Loan Details'!$H$6:$H$20),D77-G77))</f>
        <v>0</v>
      </c>
      <c r="I77" s="33" t="n">
        <f aca="false">MAX(0,D77-G77-H77)</f>
        <v>1856746</v>
      </c>
      <c r="J77" s="33" t="n">
        <f aca="false">IF(D77&lt;=0,0,IF(AND('Loan Details'!$B$10="Keep tenure, change EMI",OR(C77&lt;&gt;C76,H76&gt;0)),ROUND(PMT(C77/12,MAX(1,'Loan Details'!$B$8-A77+1),-D77),0),J76))</f>
        <v>26035</v>
      </c>
    </row>
    <row r="78" customFormat="false" ht="15" hidden="false" customHeight="true" outlineLevel="0" collapsed="false">
      <c r="A78" s="24" t="n">
        <f aca="false">74</f>
        <v>74</v>
      </c>
      <c r="B78" s="32" t="n">
        <f aca="false">EDATE('Loan Details'!$B$9,73)</f>
        <v>48370</v>
      </c>
      <c r="C78" s="25" t="n">
        <f aca="false">LOOKUP(A78,'Loan Details'!$J$6:$J$14,'Loan Details'!$K$6:$K$14)</f>
        <v>0.0825</v>
      </c>
      <c r="D78" s="33" t="n">
        <f aca="false">I77</f>
        <v>1856746</v>
      </c>
      <c r="E78" s="33" t="n">
        <f aca="false">IF(D78&lt;=0,0,MIN(J78,D78+F78))</f>
        <v>26035</v>
      </c>
      <c r="F78" s="33" t="n">
        <f aca="false">IF(D78&lt;=0,0,ROUND(D78*C78/12,0))</f>
        <v>12765</v>
      </c>
      <c r="G78" s="33" t="n">
        <f aca="false">E78-F78</f>
        <v>13270</v>
      </c>
      <c r="H78" s="33" t="n">
        <f aca="false">IF(D78&lt;=0,0,MIN(SUMIF('Loan Details'!$G$6:$G$20,A78,'Loan Details'!$H$6:$H$20),D78-G78))</f>
        <v>0</v>
      </c>
      <c r="I78" s="33" t="n">
        <f aca="false">MAX(0,D78-G78-H78)</f>
        <v>1843476</v>
      </c>
      <c r="J78" s="33" t="n">
        <f aca="false">IF(D78&lt;=0,0,IF(AND('Loan Details'!$B$10="Keep tenure, change EMI",OR(C78&lt;&gt;C77,H77&gt;0)),ROUND(PMT(C78/12,MAX(1,'Loan Details'!$B$8-A78+1),-D78),0),J77))</f>
        <v>26035</v>
      </c>
    </row>
    <row r="79" customFormat="false" ht="15" hidden="false" customHeight="true" outlineLevel="0" collapsed="false">
      <c r="A79" s="24" t="n">
        <f aca="false">75</f>
        <v>75</v>
      </c>
      <c r="B79" s="32" t="n">
        <f aca="false">EDATE('Loan Details'!$B$9,74)</f>
        <v>48400</v>
      </c>
      <c r="C79" s="25" t="n">
        <f aca="false">LOOKUP(A79,'Loan Details'!$J$6:$J$14,'Loan Details'!$K$6:$K$14)</f>
        <v>0.0825</v>
      </c>
      <c r="D79" s="33" t="n">
        <f aca="false">I78</f>
        <v>1843476</v>
      </c>
      <c r="E79" s="33" t="n">
        <f aca="false">IF(D79&lt;=0,0,MIN(J79,D79+F79))</f>
        <v>26035</v>
      </c>
      <c r="F79" s="33" t="n">
        <f aca="false">IF(D79&lt;=0,0,ROUND(D79*C79/12,0))</f>
        <v>12674</v>
      </c>
      <c r="G79" s="33" t="n">
        <f aca="false">E79-F79</f>
        <v>13361</v>
      </c>
      <c r="H79" s="33" t="n">
        <f aca="false">IF(D79&lt;=0,0,MIN(SUMIF('Loan Details'!$G$6:$G$20,A79,'Loan Details'!$H$6:$H$20),D79-G79))</f>
        <v>0</v>
      </c>
      <c r="I79" s="33" t="n">
        <f aca="false">MAX(0,D79-G79-H79)</f>
        <v>1830115</v>
      </c>
      <c r="J79" s="33" t="n">
        <f aca="false">IF(D79&lt;=0,0,IF(AND('Loan Details'!$B$10="Keep tenure, change EMI",OR(C79&lt;&gt;C78,H78&gt;0)),ROUND(PMT(C79/12,MAX(1,'Loan Details'!$B$8-A79+1),-D79),0),J78))</f>
        <v>26035</v>
      </c>
    </row>
    <row r="80" customFormat="false" ht="15" hidden="false" customHeight="true" outlineLevel="0" collapsed="false">
      <c r="A80" s="24" t="n">
        <f aca="false">76</f>
        <v>76</v>
      </c>
      <c r="B80" s="32" t="n">
        <f aca="false">EDATE('Loan Details'!$B$9,75)</f>
        <v>48431</v>
      </c>
      <c r="C80" s="25" t="n">
        <f aca="false">LOOKUP(A80,'Loan Details'!$J$6:$J$14,'Loan Details'!$K$6:$K$14)</f>
        <v>0.0825</v>
      </c>
      <c r="D80" s="33" t="n">
        <f aca="false">I79</f>
        <v>1830115</v>
      </c>
      <c r="E80" s="33" t="n">
        <f aca="false">IF(D80&lt;=0,0,MIN(J80,D80+F80))</f>
        <v>26035</v>
      </c>
      <c r="F80" s="33" t="n">
        <f aca="false">IF(D80&lt;=0,0,ROUND(D80*C80/12,0))</f>
        <v>12582</v>
      </c>
      <c r="G80" s="33" t="n">
        <f aca="false">E80-F80</f>
        <v>13453</v>
      </c>
      <c r="H80" s="33" t="n">
        <f aca="false">IF(D80&lt;=0,0,MIN(SUMIF('Loan Details'!$G$6:$G$20,A80,'Loan Details'!$H$6:$H$20),D80-G80))</f>
        <v>0</v>
      </c>
      <c r="I80" s="33" t="n">
        <f aca="false">MAX(0,D80-G80-H80)</f>
        <v>1816662</v>
      </c>
      <c r="J80" s="33" t="n">
        <f aca="false">IF(D80&lt;=0,0,IF(AND('Loan Details'!$B$10="Keep tenure, change EMI",OR(C80&lt;&gt;C79,H79&gt;0)),ROUND(PMT(C80/12,MAX(1,'Loan Details'!$B$8-A80+1),-D80),0),J79))</f>
        <v>26035</v>
      </c>
    </row>
    <row r="81" customFormat="false" ht="15" hidden="false" customHeight="true" outlineLevel="0" collapsed="false">
      <c r="A81" s="24" t="n">
        <f aca="false">77</f>
        <v>77</v>
      </c>
      <c r="B81" s="32" t="n">
        <f aca="false">EDATE('Loan Details'!$B$9,76)</f>
        <v>48462</v>
      </c>
      <c r="C81" s="25" t="n">
        <f aca="false">LOOKUP(A81,'Loan Details'!$J$6:$J$14,'Loan Details'!$K$6:$K$14)</f>
        <v>0.0825</v>
      </c>
      <c r="D81" s="33" t="n">
        <f aca="false">I80</f>
        <v>1816662</v>
      </c>
      <c r="E81" s="33" t="n">
        <f aca="false">IF(D81&lt;=0,0,MIN(J81,D81+F81))</f>
        <v>26035</v>
      </c>
      <c r="F81" s="33" t="n">
        <f aca="false">IF(D81&lt;=0,0,ROUND(D81*C81/12,0))</f>
        <v>12490</v>
      </c>
      <c r="G81" s="33" t="n">
        <f aca="false">E81-F81</f>
        <v>13545</v>
      </c>
      <c r="H81" s="33" t="n">
        <f aca="false">IF(D81&lt;=0,0,MIN(SUMIF('Loan Details'!$G$6:$G$20,A81,'Loan Details'!$H$6:$H$20),D81-G81))</f>
        <v>0</v>
      </c>
      <c r="I81" s="33" t="n">
        <f aca="false">MAX(0,D81-G81-H81)</f>
        <v>1803117</v>
      </c>
      <c r="J81" s="33" t="n">
        <f aca="false">IF(D81&lt;=0,0,IF(AND('Loan Details'!$B$10="Keep tenure, change EMI",OR(C81&lt;&gt;C80,H80&gt;0)),ROUND(PMT(C81/12,MAX(1,'Loan Details'!$B$8-A81+1),-D81),0),J80))</f>
        <v>26035</v>
      </c>
    </row>
    <row r="82" customFormat="false" ht="15" hidden="false" customHeight="true" outlineLevel="0" collapsed="false">
      <c r="A82" s="24" t="n">
        <f aca="false">78</f>
        <v>78</v>
      </c>
      <c r="B82" s="32" t="n">
        <f aca="false">EDATE('Loan Details'!$B$9,77)</f>
        <v>48492</v>
      </c>
      <c r="C82" s="25" t="n">
        <f aca="false">LOOKUP(A82,'Loan Details'!$J$6:$J$14,'Loan Details'!$K$6:$K$14)</f>
        <v>0.0825</v>
      </c>
      <c r="D82" s="33" t="n">
        <f aca="false">I81</f>
        <v>1803117</v>
      </c>
      <c r="E82" s="33" t="n">
        <f aca="false">IF(D82&lt;=0,0,MIN(J82,D82+F82))</f>
        <v>26035</v>
      </c>
      <c r="F82" s="33" t="n">
        <f aca="false">IF(D82&lt;=0,0,ROUND(D82*C82/12,0))</f>
        <v>12396</v>
      </c>
      <c r="G82" s="33" t="n">
        <f aca="false">E82-F82</f>
        <v>13639</v>
      </c>
      <c r="H82" s="33" t="n">
        <f aca="false">IF(D82&lt;=0,0,MIN(SUMIF('Loan Details'!$G$6:$G$20,A82,'Loan Details'!$H$6:$H$20),D82-G82))</f>
        <v>0</v>
      </c>
      <c r="I82" s="33" t="n">
        <f aca="false">MAX(0,D82-G82-H82)</f>
        <v>1789478</v>
      </c>
      <c r="J82" s="33" t="n">
        <f aca="false">IF(D82&lt;=0,0,IF(AND('Loan Details'!$B$10="Keep tenure, change EMI",OR(C82&lt;&gt;C81,H81&gt;0)),ROUND(PMT(C82/12,MAX(1,'Loan Details'!$B$8-A82+1),-D82),0),J81))</f>
        <v>26035</v>
      </c>
    </row>
    <row r="83" customFormat="false" ht="15" hidden="false" customHeight="true" outlineLevel="0" collapsed="false">
      <c r="A83" s="24" t="n">
        <f aca="false">79</f>
        <v>79</v>
      </c>
      <c r="B83" s="32" t="n">
        <f aca="false">EDATE('Loan Details'!$B$9,78)</f>
        <v>48523</v>
      </c>
      <c r="C83" s="25" t="n">
        <f aca="false">LOOKUP(A83,'Loan Details'!$J$6:$J$14,'Loan Details'!$K$6:$K$14)</f>
        <v>0.0825</v>
      </c>
      <c r="D83" s="33" t="n">
        <f aca="false">I82</f>
        <v>1789478</v>
      </c>
      <c r="E83" s="33" t="n">
        <f aca="false">IF(D83&lt;=0,0,MIN(J83,D83+F83))</f>
        <v>26035</v>
      </c>
      <c r="F83" s="33" t="n">
        <f aca="false">IF(D83&lt;=0,0,ROUND(D83*C83/12,0))</f>
        <v>12303</v>
      </c>
      <c r="G83" s="33" t="n">
        <f aca="false">E83-F83</f>
        <v>13732</v>
      </c>
      <c r="H83" s="33" t="n">
        <f aca="false">IF(D83&lt;=0,0,MIN(SUMIF('Loan Details'!$G$6:$G$20,A83,'Loan Details'!$H$6:$H$20),D83-G83))</f>
        <v>0</v>
      </c>
      <c r="I83" s="33" t="n">
        <f aca="false">MAX(0,D83-G83-H83)</f>
        <v>1775746</v>
      </c>
      <c r="J83" s="33" t="n">
        <f aca="false">IF(D83&lt;=0,0,IF(AND('Loan Details'!$B$10="Keep tenure, change EMI",OR(C83&lt;&gt;C82,H82&gt;0)),ROUND(PMT(C83/12,MAX(1,'Loan Details'!$B$8-A83+1),-D83),0),J82))</f>
        <v>26035</v>
      </c>
    </row>
    <row r="84" customFormat="false" ht="15" hidden="false" customHeight="true" outlineLevel="0" collapsed="false">
      <c r="A84" s="24" t="n">
        <f aca="false">80</f>
        <v>80</v>
      </c>
      <c r="B84" s="32" t="n">
        <f aca="false">EDATE('Loan Details'!$B$9,79)</f>
        <v>48553</v>
      </c>
      <c r="C84" s="25" t="n">
        <f aca="false">LOOKUP(A84,'Loan Details'!$J$6:$J$14,'Loan Details'!$K$6:$K$14)</f>
        <v>0.0825</v>
      </c>
      <c r="D84" s="33" t="n">
        <f aca="false">I83</f>
        <v>1775746</v>
      </c>
      <c r="E84" s="33" t="n">
        <f aca="false">IF(D84&lt;=0,0,MIN(J84,D84+F84))</f>
        <v>26035</v>
      </c>
      <c r="F84" s="33" t="n">
        <f aca="false">IF(D84&lt;=0,0,ROUND(D84*C84/12,0))</f>
        <v>12208</v>
      </c>
      <c r="G84" s="33" t="n">
        <f aca="false">E84-F84</f>
        <v>13827</v>
      </c>
      <c r="H84" s="33" t="n">
        <f aca="false">IF(D84&lt;=0,0,MIN(SUMIF('Loan Details'!$G$6:$G$20,A84,'Loan Details'!$H$6:$H$20),D84-G84))</f>
        <v>0</v>
      </c>
      <c r="I84" s="33" t="n">
        <f aca="false">MAX(0,D84-G84-H84)</f>
        <v>1761919</v>
      </c>
      <c r="J84" s="33" t="n">
        <f aca="false">IF(D84&lt;=0,0,IF(AND('Loan Details'!$B$10="Keep tenure, change EMI",OR(C84&lt;&gt;C83,H83&gt;0)),ROUND(PMT(C84/12,MAX(1,'Loan Details'!$B$8-A84+1),-D84),0),J83))</f>
        <v>26035</v>
      </c>
    </row>
    <row r="85" customFormat="false" ht="15" hidden="false" customHeight="true" outlineLevel="0" collapsed="false">
      <c r="A85" s="24" t="n">
        <f aca="false">81</f>
        <v>81</v>
      </c>
      <c r="B85" s="32" t="n">
        <f aca="false">EDATE('Loan Details'!$B$9,80)</f>
        <v>48584</v>
      </c>
      <c r="C85" s="25" t="n">
        <f aca="false">LOOKUP(A85,'Loan Details'!$J$6:$J$14,'Loan Details'!$K$6:$K$14)</f>
        <v>0.0825</v>
      </c>
      <c r="D85" s="33" t="n">
        <f aca="false">I84</f>
        <v>1761919</v>
      </c>
      <c r="E85" s="33" t="n">
        <f aca="false">IF(D85&lt;=0,0,MIN(J85,D85+F85))</f>
        <v>26035</v>
      </c>
      <c r="F85" s="33" t="n">
        <f aca="false">IF(D85&lt;=0,0,ROUND(D85*C85/12,0))</f>
        <v>12113</v>
      </c>
      <c r="G85" s="33" t="n">
        <f aca="false">E85-F85</f>
        <v>13922</v>
      </c>
      <c r="H85" s="33" t="n">
        <f aca="false">IF(D85&lt;=0,0,MIN(SUMIF('Loan Details'!$G$6:$G$20,A85,'Loan Details'!$H$6:$H$20),D85-G85))</f>
        <v>0</v>
      </c>
      <c r="I85" s="33" t="n">
        <f aca="false">MAX(0,D85-G85-H85)</f>
        <v>1747997</v>
      </c>
      <c r="J85" s="33" t="n">
        <f aca="false">IF(D85&lt;=0,0,IF(AND('Loan Details'!$B$10="Keep tenure, change EMI",OR(C85&lt;&gt;C84,H84&gt;0)),ROUND(PMT(C85/12,MAX(1,'Loan Details'!$B$8-A85+1),-D85),0),J84))</f>
        <v>26035</v>
      </c>
    </row>
    <row r="86" customFormat="false" ht="15" hidden="false" customHeight="true" outlineLevel="0" collapsed="false">
      <c r="A86" s="24" t="n">
        <f aca="false">82</f>
        <v>82</v>
      </c>
      <c r="B86" s="32" t="n">
        <f aca="false">EDATE('Loan Details'!$B$9,81)</f>
        <v>48615</v>
      </c>
      <c r="C86" s="25" t="n">
        <f aca="false">LOOKUP(A86,'Loan Details'!$J$6:$J$14,'Loan Details'!$K$6:$K$14)</f>
        <v>0.0825</v>
      </c>
      <c r="D86" s="33" t="n">
        <f aca="false">I85</f>
        <v>1747997</v>
      </c>
      <c r="E86" s="33" t="n">
        <f aca="false">IF(D86&lt;=0,0,MIN(J86,D86+F86))</f>
        <v>26035</v>
      </c>
      <c r="F86" s="33" t="n">
        <f aca="false">IF(D86&lt;=0,0,ROUND(D86*C86/12,0))</f>
        <v>12017</v>
      </c>
      <c r="G86" s="33" t="n">
        <f aca="false">E86-F86</f>
        <v>14018</v>
      </c>
      <c r="H86" s="33" t="n">
        <f aca="false">IF(D86&lt;=0,0,MIN(SUMIF('Loan Details'!$G$6:$G$20,A86,'Loan Details'!$H$6:$H$20),D86-G86))</f>
        <v>0</v>
      </c>
      <c r="I86" s="33" t="n">
        <f aca="false">MAX(0,D86-G86-H86)</f>
        <v>1733979</v>
      </c>
      <c r="J86" s="33" t="n">
        <f aca="false">IF(D86&lt;=0,0,IF(AND('Loan Details'!$B$10="Keep tenure, change EMI",OR(C86&lt;&gt;C85,H85&gt;0)),ROUND(PMT(C86/12,MAX(1,'Loan Details'!$B$8-A86+1),-D86),0),J85))</f>
        <v>26035</v>
      </c>
    </row>
    <row r="87" customFormat="false" ht="15" hidden="false" customHeight="true" outlineLevel="0" collapsed="false">
      <c r="A87" s="24" t="n">
        <f aca="false">83</f>
        <v>83</v>
      </c>
      <c r="B87" s="32" t="n">
        <f aca="false">EDATE('Loan Details'!$B$9,82)</f>
        <v>48643</v>
      </c>
      <c r="C87" s="25" t="n">
        <f aca="false">LOOKUP(A87,'Loan Details'!$J$6:$J$14,'Loan Details'!$K$6:$K$14)</f>
        <v>0.0825</v>
      </c>
      <c r="D87" s="33" t="n">
        <f aca="false">I86</f>
        <v>1733979</v>
      </c>
      <c r="E87" s="33" t="n">
        <f aca="false">IF(D87&lt;=0,0,MIN(J87,D87+F87))</f>
        <v>26035</v>
      </c>
      <c r="F87" s="33" t="n">
        <f aca="false">IF(D87&lt;=0,0,ROUND(D87*C87/12,0))</f>
        <v>11921</v>
      </c>
      <c r="G87" s="33" t="n">
        <f aca="false">E87-F87</f>
        <v>14114</v>
      </c>
      <c r="H87" s="33" t="n">
        <f aca="false">IF(D87&lt;=0,0,MIN(SUMIF('Loan Details'!$G$6:$G$20,A87,'Loan Details'!$H$6:$H$20),D87-G87))</f>
        <v>0</v>
      </c>
      <c r="I87" s="33" t="n">
        <f aca="false">MAX(0,D87-G87-H87)</f>
        <v>1719865</v>
      </c>
      <c r="J87" s="33" t="n">
        <f aca="false">IF(D87&lt;=0,0,IF(AND('Loan Details'!$B$10="Keep tenure, change EMI",OR(C87&lt;&gt;C86,H86&gt;0)),ROUND(PMT(C87/12,MAX(1,'Loan Details'!$B$8-A87+1),-D87),0),J86))</f>
        <v>26035</v>
      </c>
    </row>
    <row r="88" customFormat="false" ht="15" hidden="false" customHeight="true" outlineLevel="0" collapsed="false">
      <c r="A88" s="24" t="n">
        <f aca="false">84</f>
        <v>84</v>
      </c>
      <c r="B88" s="32" t="n">
        <f aca="false">EDATE('Loan Details'!$B$9,83)</f>
        <v>48674</v>
      </c>
      <c r="C88" s="25" t="n">
        <f aca="false">LOOKUP(A88,'Loan Details'!$J$6:$J$14,'Loan Details'!$K$6:$K$14)</f>
        <v>0.0825</v>
      </c>
      <c r="D88" s="33" t="n">
        <f aca="false">I87</f>
        <v>1719865</v>
      </c>
      <c r="E88" s="33" t="n">
        <f aca="false">IF(D88&lt;=0,0,MIN(J88,D88+F88))</f>
        <v>26035</v>
      </c>
      <c r="F88" s="33" t="n">
        <f aca="false">IF(D88&lt;=0,0,ROUND(D88*C88/12,0))</f>
        <v>11824</v>
      </c>
      <c r="G88" s="33" t="n">
        <f aca="false">E88-F88</f>
        <v>14211</v>
      </c>
      <c r="H88" s="33" t="n">
        <f aca="false">IF(D88&lt;=0,0,MIN(SUMIF('Loan Details'!$G$6:$G$20,A88,'Loan Details'!$H$6:$H$20),D88-G88))</f>
        <v>0</v>
      </c>
      <c r="I88" s="33" t="n">
        <f aca="false">MAX(0,D88-G88-H88)</f>
        <v>1705654</v>
      </c>
      <c r="J88" s="33" t="n">
        <f aca="false">IF(D88&lt;=0,0,IF(AND('Loan Details'!$B$10="Keep tenure, change EMI",OR(C88&lt;&gt;C87,H87&gt;0)),ROUND(PMT(C88/12,MAX(1,'Loan Details'!$B$8-A88+1),-D88),0),J87))</f>
        <v>26035</v>
      </c>
    </row>
    <row r="89" customFormat="false" ht="15" hidden="false" customHeight="true" outlineLevel="0" collapsed="false">
      <c r="A89" s="24" t="n">
        <f aca="false">85</f>
        <v>85</v>
      </c>
      <c r="B89" s="32" t="n">
        <f aca="false">EDATE('Loan Details'!$B$9,84)</f>
        <v>48704</v>
      </c>
      <c r="C89" s="25" t="n">
        <f aca="false">LOOKUP(A89,'Loan Details'!$J$6:$J$14,'Loan Details'!$K$6:$K$14)</f>
        <v>0.0825</v>
      </c>
      <c r="D89" s="33" t="n">
        <f aca="false">I88</f>
        <v>1705654</v>
      </c>
      <c r="E89" s="33" t="n">
        <f aca="false">IF(D89&lt;=0,0,MIN(J89,D89+F89))</f>
        <v>26035</v>
      </c>
      <c r="F89" s="33" t="n">
        <f aca="false">IF(D89&lt;=0,0,ROUND(D89*C89/12,0))</f>
        <v>11726</v>
      </c>
      <c r="G89" s="33" t="n">
        <f aca="false">E89-F89</f>
        <v>14309</v>
      </c>
      <c r="H89" s="33" t="n">
        <f aca="false">IF(D89&lt;=0,0,MIN(SUMIF('Loan Details'!$G$6:$G$20,A89,'Loan Details'!$H$6:$H$20),D89-G89))</f>
        <v>0</v>
      </c>
      <c r="I89" s="33" t="n">
        <f aca="false">MAX(0,D89-G89-H89)</f>
        <v>1691345</v>
      </c>
      <c r="J89" s="33" t="n">
        <f aca="false">IF(D89&lt;=0,0,IF(AND('Loan Details'!$B$10="Keep tenure, change EMI",OR(C89&lt;&gt;C88,H88&gt;0)),ROUND(PMT(C89/12,MAX(1,'Loan Details'!$B$8-A89+1),-D89),0),J88))</f>
        <v>26035</v>
      </c>
    </row>
    <row r="90" customFormat="false" ht="15" hidden="false" customHeight="true" outlineLevel="0" collapsed="false">
      <c r="A90" s="24" t="n">
        <f aca="false">86</f>
        <v>86</v>
      </c>
      <c r="B90" s="32" t="n">
        <f aca="false">EDATE('Loan Details'!$B$9,85)</f>
        <v>48735</v>
      </c>
      <c r="C90" s="25" t="n">
        <f aca="false">LOOKUP(A90,'Loan Details'!$J$6:$J$14,'Loan Details'!$K$6:$K$14)</f>
        <v>0.0825</v>
      </c>
      <c r="D90" s="33" t="n">
        <f aca="false">I89</f>
        <v>1691345</v>
      </c>
      <c r="E90" s="33" t="n">
        <f aca="false">IF(D90&lt;=0,0,MIN(J90,D90+F90))</f>
        <v>26035</v>
      </c>
      <c r="F90" s="33" t="n">
        <f aca="false">IF(D90&lt;=0,0,ROUND(D90*C90/12,0))</f>
        <v>11628</v>
      </c>
      <c r="G90" s="33" t="n">
        <f aca="false">E90-F90</f>
        <v>14407</v>
      </c>
      <c r="H90" s="33" t="n">
        <f aca="false">IF(D90&lt;=0,0,MIN(SUMIF('Loan Details'!$G$6:$G$20,A90,'Loan Details'!$H$6:$H$20),D90-G90))</f>
        <v>0</v>
      </c>
      <c r="I90" s="33" t="n">
        <f aca="false">MAX(0,D90-G90-H90)</f>
        <v>1676938</v>
      </c>
      <c r="J90" s="33" t="n">
        <f aca="false">IF(D90&lt;=0,0,IF(AND('Loan Details'!$B$10="Keep tenure, change EMI",OR(C90&lt;&gt;C89,H89&gt;0)),ROUND(PMT(C90/12,MAX(1,'Loan Details'!$B$8-A90+1),-D90),0),J89))</f>
        <v>26035</v>
      </c>
    </row>
    <row r="91" customFormat="false" ht="15" hidden="false" customHeight="true" outlineLevel="0" collapsed="false">
      <c r="A91" s="24" t="n">
        <f aca="false">87</f>
        <v>87</v>
      </c>
      <c r="B91" s="32" t="n">
        <f aca="false">EDATE('Loan Details'!$B$9,86)</f>
        <v>48765</v>
      </c>
      <c r="C91" s="25" t="n">
        <f aca="false">LOOKUP(A91,'Loan Details'!$J$6:$J$14,'Loan Details'!$K$6:$K$14)</f>
        <v>0.0825</v>
      </c>
      <c r="D91" s="33" t="n">
        <f aca="false">I90</f>
        <v>1676938</v>
      </c>
      <c r="E91" s="33" t="n">
        <f aca="false">IF(D91&lt;=0,0,MIN(J91,D91+F91))</f>
        <v>26035</v>
      </c>
      <c r="F91" s="33" t="n">
        <f aca="false">IF(D91&lt;=0,0,ROUND(D91*C91/12,0))</f>
        <v>11529</v>
      </c>
      <c r="G91" s="33" t="n">
        <f aca="false">E91-F91</f>
        <v>14506</v>
      </c>
      <c r="H91" s="33" t="n">
        <f aca="false">IF(D91&lt;=0,0,MIN(SUMIF('Loan Details'!$G$6:$G$20,A91,'Loan Details'!$H$6:$H$20),D91-G91))</f>
        <v>0</v>
      </c>
      <c r="I91" s="33" t="n">
        <f aca="false">MAX(0,D91-G91-H91)</f>
        <v>1662432</v>
      </c>
      <c r="J91" s="33" t="n">
        <f aca="false">IF(D91&lt;=0,0,IF(AND('Loan Details'!$B$10="Keep tenure, change EMI",OR(C91&lt;&gt;C90,H90&gt;0)),ROUND(PMT(C91/12,MAX(1,'Loan Details'!$B$8-A91+1),-D91),0),J90))</f>
        <v>26035</v>
      </c>
    </row>
    <row r="92" customFormat="false" ht="15" hidden="false" customHeight="true" outlineLevel="0" collapsed="false">
      <c r="A92" s="24" t="n">
        <f aca="false">88</f>
        <v>88</v>
      </c>
      <c r="B92" s="32" t="n">
        <f aca="false">EDATE('Loan Details'!$B$9,87)</f>
        <v>48796</v>
      </c>
      <c r="C92" s="25" t="n">
        <f aca="false">LOOKUP(A92,'Loan Details'!$J$6:$J$14,'Loan Details'!$K$6:$K$14)</f>
        <v>0.0825</v>
      </c>
      <c r="D92" s="33" t="n">
        <f aca="false">I91</f>
        <v>1662432</v>
      </c>
      <c r="E92" s="33" t="n">
        <f aca="false">IF(D92&lt;=0,0,MIN(J92,D92+F92))</f>
        <v>26035</v>
      </c>
      <c r="F92" s="33" t="n">
        <f aca="false">IF(D92&lt;=0,0,ROUND(D92*C92/12,0))</f>
        <v>11429</v>
      </c>
      <c r="G92" s="33" t="n">
        <f aca="false">E92-F92</f>
        <v>14606</v>
      </c>
      <c r="H92" s="33" t="n">
        <f aca="false">IF(D92&lt;=0,0,MIN(SUMIF('Loan Details'!$G$6:$G$20,A92,'Loan Details'!$H$6:$H$20),D92-G92))</f>
        <v>0</v>
      </c>
      <c r="I92" s="33" t="n">
        <f aca="false">MAX(0,D92-G92-H92)</f>
        <v>1647826</v>
      </c>
      <c r="J92" s="33" t="n">
        <f aca="false">IF(D92&lt;=0,0,IF(AND('Loan Details'!$B$10="Keep tenure, change EMI",OR(C92&lt;&gt;C91,H91&gt;0)),ROUND(PMT(C92/12,MAX(1,'Loan Details'!$B$8-A92+1),-D92),0),J91))</f>
        <v>26035</v>
      </c>
    </row>
    <row r="93" customFormat="false" ht="15" hidden="false" customHeight="true" outlineLevel="0" collapsed="false">
      <c r="A93" s="24" t="n">
        <f aca="false">89</f>
        <v>89</v>
      </c>
      <c r="B93" s="32" t="n">
        <f aca="false">EDATE('Loan Details'!$B$9,88)</f>
        <v>48827</v>
      </c>
      <c r="C93" s="25" t="n">
        <f aca="false">LOOKUP(A93,'Loan Details'!$J$6:$J$14,'Loan Details'!$K$6:$K$14)</f>
        <v>0.0825</v>
      </c>
      <c r="D93" s="33" t="n">
        <f aca="false">I92</f>
        <v>1647826</v>
      </c>
      <c r="E93" s="33" t="n">
        <f aca="false">IF(D93&lt;=0,0,MIN(J93,D93+F93))</f>
        <v>26035</v>
      </c>
      <c r="F93" s="33" t="n">
        <f aca="false">IF(D93&lt;=0,0,ROUND(D93*C93/12,0))</f>
        <v>11329</v>
      </c>
      <c r="G93" s="33" t="n">
        <f aca="false">E93-F93</f>
        <v>14706</v>
      </c>
      <c r="H93" s="33" t="n">
        <f aca="false">IF(D93&lt;=0,0,MIN(SUMIF('Loan Details'!$G$6:$G$20,A93,'Loan Details'!$H$6:$H$20),D93-G93))</f>
        <v>0</v>
      </c>
      <c r="I93" s="33" t="n">
        <f aca="false">MAX(0,D93-G93-H93)</f>
        <v>1633120</v>
      </c>
      <c r="J93" s="33" t="n">
        <f aca="false">IF(D93&lt;=0,0,IF(AND('Loan Details'!$B$10="Keep tenure, change EMI",OR(C93&lt;&gt;C92,H92&gt;0)),ROUND(PMT(C93/12,MAX(1,'Loan Details'!$B$8-A93+1),-D93),0),J92))</f>
        <v>26035</v>
      </c>
    </row>
    <row r="94" customFormat="false" ht="15" hidden="false" customHeight="true" outlineLevel="0" collapsed="false">
      <c r="A94" s="24" t="n">
        <f aca="false">90</f>
        <v>90</v>
      </c>
      <c r="B94" s="32" t="n">
        <f aca="false">EDATE('Loan Details'!$B$9,89)</f>
        <v>48857</v>
      </c>
      <c r="C94" s="25" t="n">
        <f aca="false">LOOKUP(A94,'Loan Details'!$J$6:$J$14,'Loan Details'!$K$6:$K$14)</f>
        <v>0.0825</v>
      </c>
      <c r="D94" s="33" t="n">
        <f aca="false">I93</f>
        <v>1633120</v>
      </c>
      <c r="E94" s="33" t="n">
        <f aca="false">IF(D94&lt;=0,0,MIN(J94,D94+F94))</f>
        <v>26035</v>
      </c>
      <c r="F94" s="33" t="n">
        <f aca="false">IF(D94&lt;=0,0,ROUND(D94*C94/12,0))</f>
        <v>11228</v>
      </c>
      <c r="G94" s="33" t="n">
        <f aca="false">E94-F94</f>
        <v>14807</v>
      </c>
      <c r="H94" s="33" t="n">
        <f aca="false">IF(D94&lt;=0,0,MIN(SUMIF('Loan Details'!$G$6:$G$20,A94,'Loan Details'!$H$6:$H$20),D94-G94))</f>
        <v>0</v>
      </c>
      <c r="I94" s="33" t="n">
        <f aca="false">MAX(0,D94-G94-H94)</f>
        <v>1618313</v>
      </c>
      <c r="J94" s="33" t="n">
        <f aca="false">IF(D94&lt;=0,0,IF(AND('Loan Details'!$B$10="Keep tenure, change EMI",OR(C94&lt;&gt;C93,H93&gt;0)),ROUND(PMT(C94/12,MAX(1,'Loan Details'!$B$8-A94+1),-D94),0),J93))</f>
        <v>26035</v>
      </c>
    </row>
    <row r="95" customFormat="false" ht="15" hidden="false" customHeight="true" outlineLevel="0" collapsed="false">
      <c r="A95" s="24" t="n">
        <f aca="false">91</f>
        <v>91</v>
      </c>
      <c r="B95" s="32" t="n">
        <f aca="false">EDATE('Loan Details'!$B$9,90)</f>
        <v>48888</v>
      </c>
      <c r="C95" s="25" t="n">
        <f aca="false">LOOKUP(A95,'Loan Details'!$J$6:$J$14,'Loan Details'!$K$6:$K$14)</f>
        <v>0.0825</v>
      </c>
      <c r="D95" s="33" t="n">
        <f aca="false">I94</f>
        <v>1618313</v>
      </c>
      <c r="E95" s="33" t="n">
        <f aca="false">IF(D95&lt;=0,0,MIN(J95,D95+F95))</f>
        <v>26035</v>
      </c>
      <c r="F95" s="33" t="n">
        <f aca="false">IF(D95&lt;=0,0,ROUND(D95*C95/12,0))</f>
        <v>11126</v>
      </c>
      <c r="G95" s="33" t="n">
        <f aca="false">E95-F95</f>
        <v>14909</v>
      </c>
      <c r="H95" s="33" t="n">
        <f aca="false">IF(D95&lt;=0,0,MIN(SUMIF('Loan Details'!$G$6:$G$20,A95,'Loan Details'!$H$6:$H$20),D95-G95))</f>
        <v>0</v>
      </c>
      <c r="I95" s="33" t="n">
        <f aca="false">MAX(0,D95-G95-H95)</f>
        <v>1603404</v>
      </c>
      <c r="J95" s="33" t="n">
        <f aca="false">IF(D95&lt;=0,0,IF(AND('Loan Details'!$B$10="Keep tenure, change EMI",OR(C95&lt;&gt;C94,H94&gt;0)),ROUND(PMT(C95/12,MAX(1,'Loan Details'!$B$8-A95+1),-D95),0),J94))</f>
        <v>26035</v>
      </c>
    </row>
    <row r="96" customFormat="false" ht="15" hidden="false" customHeight="true" outlineLevel="0" collapsed="false">
      <c r="A96" s="24" t="n">
        <f aca="false">92</f>
        <v>92</v>
      </c>
      <c r="B96" s="32" t="n">
        <f aca="false">EDATE('Loan Details'!$B$9,91)</f>
        <v>48918</v>
      </c>
      <c r="C96" s="25" t="n">
        <f aca="false">LOOKUP(A96,'Loan Details'!$J$6:$J$14,'Loan Details'!$K$6:$K$14)</f>
        <v>0.0825</v>
      </c>
      <c r="D96" s="33" t="n">
        <f aca="false">I95</f>
        <v>1603404</v>
      </c>
      <c r="E96" s="33" t="n">
        <f aca="false">IF(D96&lt;=0,0,MIN(J96,D96+F96))</f>
        <v>26035</v>
      </c>
      <c r="F96" s="33" t="n">
        <f aca="false">IF(D96&lt;=0,0,ROUND(D96*C96/12,0))</f>
        <v>11023</v>
      </c>
      <c r="G96" s="33" t="n">
        <f aca="false">E96-F96</f>
        <v>15012</v>
      </c>
      <c r="H96" s="33" t="n">
        <f aca="false">IF(D96&lt;=0,0,MIN(SUMIF('Loan Details'!$G$6:$G$20,A96,'Loan Details'!$H$6:$H$20),D96-G96))</f>
        <v>0</v>
      </c>
      <c r="I96" s="33" t="n">
        <f aca="false">MAX(0,D96-G96-H96)</f>
        <v>1588392</v>
      </c>
      <c r="J96" s="33" t="n">
        <f aca="false">IF(D96&lt;=0,0,IF(AND('Loan Details'!$B$10="Keep tenure, change EMI",OR(C96&lt;&gt;C95,H95&gt;0)),ROUND(PMT(C96/12,MAX(1,'Loan Details'!$B$8-A96+1),-D96),0),J95))</f>
        <v>26035</v>
      </c>
    </row>
    <row r="97" customFormat="false" ht="15" hidden="false" customHeight="true" outlineLevel="0" collapsed="false">
      <c r="A97" s="24" t="n">
        <f aca="false">93</f>
        <v>93</v>
      </c>
      <c r="B97" s="32" t="n">
        <f aca="false">EDATE('Loan Details'!$B$9,92)</f>
        <v>48949</v>
      </c>
      <c r="C97" s="25" t="n">
        <f aca="false">LOOKUP(A97,'Loan Details'!$J$6:$J$14,'Loan Details'!$K$6:$K$14)</f>
        <v>0.0825</v>
      </c>
      <c r="D97" s="33" t="n">
        <f aca="false">I96</f>
        <v>1588392</v>
      </c>
      <c r="E97" s="33" t="n">
        <f aca="false">IF(D97&lt;=0,0,MIN(J97,D97+F97))</f>
        <v>26035</v>
      </c>
      <c r="F97" s="33" t="n">
        <f aca="false">IF(D97&lt;=0,0,ROUND(D97*C97/12,0))</f>
        <v>10920</v>
      </c>
      <c r="G97" s="33" t="n">
        <f aca="false">E97-F97</f>
        <v>15115</v>
      </c>
      <c r="H97" s="33" t="n">
        <f aca="false">IF(D97&lt;=0,0,MIN(SUMIF('Loan Details'!$G$6:$G$20,A97,'Loan Details'!$H$6:$H$20),D97-G97))</f>
        <v>0</v>
      </c>
      <c r="I97" s="33" t="n">
        <f aca="false">MAX(0,D97-G97-H97)</f>
        <v>1573277</v>
      </c>
      <c r="J97" s="33" t="n">
        <f aca="false">IF(D97&lt;=0,0,IF(AND('Loan Details'!$B$10="Keep tenure, change EMI",OR(C97&lt;&gt;C96,H96&gt;0)),ROUND(PMT(C97/12,MAX(1,'Loan Details'!$B$8-A97+1),-D97),0),J96))</f>
        <v>26035</v>
      </c>
    </row>
    <row r="98" customFormat="false" ht="15" hidden="false" customHeight="true" outlineLevel="0" collapsed="false">
      <c r="A98" s="24" t="n">
        <f aca="false">94</f>
        <v>94</v>
      </c>
      <c r="B98" s="32" t="n">
        <f aca="false">EDATE('Loan Details'!$B$9,93)</f>
        <v>48980</v>
      </c>
      <c r="C98" s="25" t="n">
        <f aca="false">LOOKUP(A98,'Loan Details'!$J$6:$J$14,'Loan Details'!$K$6:$K$14)</f>
        <v>0.0825</v>
      </c>
      <c r="D98" s="33" t="n">
        <f aca="false">I97</f>
        <v>1573277</v>
      </c>
      <c r="E98" s="33" t="n">
        <f aca="false">IF(D98&lt;=0,0,MIN(J98,D98+F98))</f>
        <v>26035</v>
      </c>
      <c r="F98" s="33" t="n">
        <f aca="false">IF(D98&lt;=0,0,ROUND(D98*C98/12,0))</f>
        <v>10816</v>
      </c>
      <c r="G98" s="33" t="n">
        <f aca="false">E98-F98</f>
        <v>15219</v>
      </c>
      <c r="H98" s="33" t="n">
        <f aca="false">IF(D98&lt;=0,0,MIN(SUMIF('Loan Details'!$G$6:$G$20,A98,'Loan Details'!$H$6:$H$20),D98-G98))</f>
        <v>0</v>
      </c>
      <c r="I98" s="33" t="n">
        <f aca="false">MAX(0,D98-G98-H98)</f>
        <v>1558058</v>
      </c>
      <c r="J98" s="33" t="n">
        <f aca="false">IF(D98&lt;=0,0,IF(AND('Loan Details'!$B$10="Keep tenure, change EMI",OR(C98&lt;&gt;C97,H97&gt;0)),ROUND(PMT(C98/12,MAX(1,'Loan Details'!$B$8-A98+1),-D98),0),J97))</f>
        <v>26035</v>
      </c>
    </row>
    <row r="99" customFormat="false" ht="15" hidden="false" customHeight="true" outlineLevel="0" collapsed="false">
      <c r="A99" s="24" t="n">
        <f aca="false">95</f>
        <v>95</v>
      </c>
      <c r="B99" s="32" t="n">
        <f aca="false">EDATE('Loan Details'!$B$9,94)</f>
        <v>49008</v>
      </c>
      <c r="C99" s="25" t="n">
        <f aca="false">LOOKUP(A99,'Loan Details'!$J$6:$J$14,'Loan Details'!$K$6:$K$14)</f>
        <v>0.0825</v>
      </c>
      <c r="D99" s="33" t="n">
        <f aca="false">I98</f>
        <v>1558058</v>
      </c>
      <c r="E99" s="33" t="n">
        <f aca="false">IF(D99&lt;=0,0,MIN(J99,D99+F99))</f>
        <v>26035</v>
      </c>
      <c r="F99" s="33" t="n">
        <f aca="false">IF(D99&lt;=0,0,ROUND(D99*C99/12,0))</f>
        <v>10712</v>
      </c>
      <c r="G99" s="33" t="n">
        <f aca="false">E99-F99</f>
        <v>15323</v>
      </c>
      <c r="H99" s="33" t="n">
        <f aca="false">IF(D99&lt;=0,0,MIN(SUMIF('Loan Details'!$G$6:$G$20,A99,'Loan Details'!$H$6:$H$20),D99-G99))</f>
        <v>0</v>
      </c>
      <c r="I99" s="33" t="n">
        <f aca="false">MAX(0,D99-G99-H99)</f>
        <v>1542735</v>
      </c>
      <c r="J99" s="33" t="n">
        <f aca="false">IF(D99&lt;=0,0,IF(AND('Loan Details'!$B$10="Keep tenure, change EMI",OR(C99&lt;&gt;C98,H98&gt;0)),ROUND(PMT(C99/12,MAX(1,'Loan Details'!$B$8-A99+1),-D99),0),J98))</f>
        <v>26035</v>
      </c>
    </row>
    <row r="100" customFormat="false" ht="15" hidden="false" customHeight="true" outlineLevel="0" collapsed="false">
      <c r="A100" s="24" t="n">
        <f aca="false">96</f>
        <v>96</v>
      </c>
      <c r="B100" s="32" t="n">
        <f aca="false">EDATE('Loan Details'!$B$9,95)</f>
        <v>49039</v>
      </c>
      <c r="C100" s="25" t="n">
        <f aca="false">LOOKUP(A100,'Loan Details'!$J$6:$J$14,'Loan Details'!$K$6:$K$14)</f>
        <v>0.0825</v>
      </c>
      <c r="D100" s="33" t="n">
        <f aca="false">I99</f>
        <v>1542735</v>
      </c>
      <c r="E100" s="33" t="n">
        <f aca="false">IF(D100&lt;=0,0,MIN(J100,D100+F100))</f>
        <v>26035</v>
      </c>
      <c r="F100" s="33" t="n">
        <f aca="false">IF(D100&lt;=0,0,ROUND(D100*C100/12,0))</f>
        <v>10606</v>
      </c>
      <c r="G100" s="33" t="n">
        <f aca="false">E100-F100</f>
        <v>15429</v>
      </c>
      <c r="H100" s="33" t="n">
        <f aca="false">IF(D100&lt;=0,0,MIN(SUMIF('Loan Details'!$G$6:$G$20,A100,'Loan Details'!$H$6:$H$20),D100-G100))</f>
        <v>0</v>
      </c>
      <c r="I100" s="33" t="n">
        <f aca="false">MAX(0,D100-G100-H100)</f>
        <v>1527306</v>
      </c>
      <c r="J100" s="33" t="n">
        <f aca="false">IF(D100&lt;=0,0,IF(AND('Loan Details'!$B$10="Keep tenure, change EMI",OR(C100&lt;&gt;C99,H99&gt;0)),ROUND(PMT(C100/12,MAX(1,'Loan Details'!$B$8-A100+1),-D100),0),J99))</f>
        <v>26035</v>
      </c>
    </row>
    <row r="101" customFormat="false" ht="15" hidden="false" customHeight="true" outlineLevel="0" collapsed="false">
      <c r="A101" s="24" t="n">
        <f aca="false">97</f>
        <v>97</v>
      </c>
      <c r="B101" s="32" t="n">
        <f aca="false">EDATE('Loan Details'!$B$9,96)</f>
        <v>49069</v>
      </c>
      <c r="C101" s="25" t="n">
        <f aca="false">LOOKUP(A101,'Loan Details'!$J$6:$J$14,'Loan Details'!$K$6:$K$14)</f>
        <v>0.0825</v>
      </c>
      <c r="D101" s="33" t="n">
        <f aca="false">I100</f>
        <v>1527306</v>
      </c>
      <c r="E101" s="33" t="n">
        <f aca="false">IF(D101&lt;=0,0,MIN(J101,D101+F101))</f>
        <v>26035</v>
      </c>
      <c r="F101" s="33" t="n">
        <f aca="false">IF(D101&lt;=0,0,ROUND(D101*C101/12,0))</f>
        <v>10500</v>
      </c>
      <c r="G101" s="33" t="n">
        <f aca="false">E101-F101</f>
        <v>15535</v>
      </c>
      <c r="H101" s="33" t="n">
        <f aca="false">IF(D101&lt;=0,0,MIN(SUMIF('Loan Details'!$G$6:$G$20,A101,'Loan Details'!$H$6:$H$20),D101-G101))</f>
        <v>0</v>
      </c>
      <c r="I101" s="33" t="n">
        <f aca="false">MAX(0,D101-G101-H101)</f>
        <v>1511771</v>
      </c>
      <c r="J101" s="33" t="n">
        <f aca="false">IF(D101&lt;=0,0,IF(AND('Loan Details'!$B$10="Keep tenure, change EMI",OR(C101&lt;&gt;C100,H100&gt;0)),ROUND(PMT(C101/12,MAX(1,'Loan Details'!$B$8-A101+1),-D101),0),J100))</f>
        <v>26035</v>
      </c>
    </row>
    <row r="102" customFormat="false" ht="15" hidden="false" customHeight="true" outlineLevel="0" collapsed="false">
      <c r="A102" s="24" t="n">
        <f aca="false">98</f>
        <v>98</v>
      </c>
      <c r="B102" s="32" t="n">
        <f aca="false">EDATE('Loan Details'!$B$9,97)</f>
        <v>49100</v>
      </c>
      <c r="C102" s="25" t="n">
        <f aca="false">LOOKUP(A102,'Loan Details'!$J$6:$J$14,'Loan Details'!$K$6:$K$14)</f>
        <v>0.0825</v>
      </c>
      <c r="D102" s="33" t="n">
        <f aca="false">I101</f>
        <v>1511771</v>
      </c>
      <c r="E102" s="33" t="n">
        <f aca="false">IF(D102&lt;=0,0,MIN(J102,D102+F102))</f>
        <v>26035</v>
      </c>
      <c r="F102" s="33" t="n">
        <f aca="false">IF(D102&lt;=0,0,ROUND(D102*C102/12,0))</f>
        <v>10393</v>
      </c>
      <c r="G102" s="33" t="n">
        <f aca="false">E102-F102</f>
        <v>15642</v>
      </c>
      <c r="H102" s="33" t="n">
        <f aca="false">IF(D102&lt;=0,0,MIN(SUMIF('Loan Details'!$G$6:$G$20,A102,'Loan Details'!$H$6:$H$20),D102-G102))</f>
        <v>0</v>
      </c>
      <c r="I102" s="33" t="n">
        <f aca="false">MAX(0,D102-G102-H102)</f>
        <v>1496129</v>
      </c>
      <c r="J102" s="33" t="n">
        <f aca="false">IF(D102&lt;=0,0,IF(AND('Loan Details'!$B$10="Keep tenure, change EMI",OR(C102&lt;&gt;C101,H101&gt;0)),ROUND(PMT(C102/12,MAX(1,'Loan Details'!$B$8-A102+1),-D102),0),J101))</f>
        <v>26035</v>
      </c>
    </row>
    <row r="103" customFormat="false" ht="15" hidden="false" customHeight="true" outlineLevel="0" collapsed="false">
      <c r="A103" s="24" t="n">
        <f aca="false">99</f>
        <v>99</v>
      </c>
      <c r="B103" s="32" t="n">
        <f aca="false">EDATE('Loan Details'!$B$9,98)</f>
        <v>49130</v>
      </c>
      <c r="C103" s="25" t="n">
        <f aca="false">LOOKUP(A103,'Loan Details'!$J$6:$J$14,'Loan Details'!$K$6:$K$14)</f>
        <v>0.0825</v>
      </c>
      <c r="D103" s="33" t="n">
        <f aca="false">I102</f>
        <v>1496129</v>
      </c>
      <c r="E103" s="33" t="n">
        <f aca="false">IF(D103&lt;=0,0,MIN(J103,D103+F103))</f>
        <v>26035</v>
      </c>
      <c r="F103" s="33" t="n">
        <f aca="false">IF(D103&lt;=0,0,ROUND(D103*C103/12,0))</f>
        <v>10286</v>
      </c>
      <c r="G103" s="33" t="n">
        <f aca="false">E103-F103</f>
        <v>15749</v>
      </c>
      <c r="H103" s="33" t="n">
        <f aca="false">IF(D103&lt;=0,0,MIN(SUMIF('Loan Details'!$G$6:$G$20,A103,'Loan Details'!$H$6:$H$20),D103-G103))</f>
        <v>0</v>
      </c>
      <c r="I103" s="33" t="n">
        <f aca="false">MAX(0,D103-G103-H103)</f>
        <v>1480380</v>
      </c>
      <c r="J103" s="33" t="n">
        <f aca="false">IF(D103&lt;=0,0,IF(AND('Loan Details'!$B$10="Keep tenure, change EMI",OR(C103&lt;&gt;C102,H102&gt;0)),ROUND(PMT(C103/12,MAX(1,'Loan Details'!$B$8-A103+1),-D103),0),J102))</f>
        <v>26035</v>
      </c>
    </row>
    <row r="104" customFormat="false" ht="15" hidden="false" customHeight="true" outlineLevel="0" collapsed="false">
      <c r="A104" s="24" t="n">
        <f aca="false">100</f>
        <v>100</v>
      </c>
      <c r="B104" s="32" t="n">
        <f aca="false">EDATE('Loan Details'!$B$9,99)</f>
        <v>49161</v>
      </c>
      <c r="C104" s="25" t="n">
        <f aca="false">LOOKUP(A104,'Loan Details'!$J$6:$J$14,'Loan Details'!$K$6:$K$14)</f>
        <v>0.0825</v>
      </c>
      <c r="D104" s="33" t="n">
        <f aca="false">I103</f>
        <v>1480380</v>
      </c>
      <c r="E104" s="33" t="n">
        <f aca="false">IF(D104&lt;=0,0,MIN(J104,D104+F104))</f>
        <v>26035</v>
      </c>
      <c r="F104" s="33" t="n">
        <f aca="false">IF(D104&lt;=0,0,ROUND(D104*C104/12,0))</f>
        <v>10178</v>
      </c>
      <c r="G104" s="33" t="n">
        <f aca="false">E104-F104</f>
        <v>15857</v>
      </c>
      <c r="H104" s="33" t="n">
        <f aca="false">IF(D104&lt;=0,0,MIN(SUMIF('Loan Details'!$G$6:$G$20,A104,'Loan Details'!$H$6:$H$20),D104-G104))</f>
        <v>0</v>
      </c>
      <c r="I104" s="33" t="n">
        <f aca="false">MAX(0,D104-G104-H104)</f>
        <v>1464523</v>
      </c>
      <c r="J104" s="33" t="n">
        <f aca="false">IF(D104&lt;=0,0,IF(AND('Loan Details'!$B$10="Keep tenure, change EMI",OR(C104&lt;&gt;C103,H103&gt;0)),ROUND(PMT(C104/12,MAX(1,'Loan Details'!$B$8-A104+1),-D104),0),J103))</f>
        <v>26035</v>
      </c>
    </row>
    <row r="105" customFormat="false" ht="15" hidden="false" customHeight="true" outlineLevel="0" collapsed="false">
      <c r="A105" s="24" t="n">
        <f aca="false">101</f>
        <v>101</v>
      </c>
      <c r="B105" s="32" t="n">
        <f aca="false">EDATE('Loan Details'!$B$9,100)</f>
        <v>49192</v>
      </c>
      <c r="C105" s="25" t="n">
        <f aca="false">LOOKUP(A105,'Loan Details'!$J$6:$J$14,'Loan Details'!$K$6:$K$14)</f>
        <v>0.0825</v>
      </c>
      <c r="D105" s="33" t="n">
        <f aca="false">I104</f>
        <v>1464523</v>
      </c>
      <c r="E105" s="33" t="n">
        <f aca="false">IF(D105&lt;=0,0,MIN(J105,D105+F105))</f>
        <v>26035</v>
      </c>
      <c r="F105" s="33" t="n">
        <f aca="false">IF(D105&lt;=0,0,ROUND(D105*C105/12,0))</f>
        <v>10069</v>
      </c>
      <c r="G105" s="33" t="n">
        <f aca="false">E105-F105</f>
        <v>15966</v>
      </c>
      <c r="H105" s="33" t="n">
        <f aca="false">IF(D105&lt;=0,0,MIN(SUMIF('Loan Details'!$G$6:$G$20,A105,'Loan Details'!$H$6:$H$20),D105-G105))</f>
        <v>0</v>
      </c>
      <c r="I105" s="33" t="n">
        <f aca="false">MAX(0,D105-G105-H105)</f>
        <v>1448557</v>
      </c>
      <c r="J105" s="33" t="n">
        <f aca="false">IF(D105&lt;=0,0,IF(AND('Loan Details'!$B$10="Keep tenure, change EMI",OR(C105&lt;&gt;C104,H104&gt;0)),ROUND(PMT(C105/12,MAX(1,'Loan Details'!$B$8-A105+1),-D105),0),J104))</f>
        <v>26035</v>
      </c>
    </row>
    <row r="106" customFormat="false" ht="15" hidden="false" customHeight="true" outlineLevel="0" collapsed="false">
      <c r="A106" s="24" t="n">
        <f aca="false">102</f>
        <v>102</v>
      </c>
      <c r="B106" s="32" t="n">
        <f aca="false">EDATE('Loan Details'!$B$9,101)</f>
        <v>49222</v>
      </c>
      <c r="C106" s="25" t="n">
        <f aca="false">LOOKUP(A106,'Loan Details'!$J$6:$J$14,'Loan Details'!$K$6:$K$14)</f>
        <v>0.0825</v>
      </c>
      <c r="D106" s="33" t="n">
        <f aca="false">I105</f>
        <v>1448557</v>
      </c>
      <c r="E106" s="33" t="n">
        <f aca="false">IF(D106&lt;=0,0,MIN(J106,D106+F106))</f>
        <v>26035</v>
      </c>
      <c r="F106" s="33" t="n">
        <f aca="false">IF(D106&lt;=0,0,ROUND(D106*C106/12,0))</f>
        <v>9959</v>
      </c>
      <c r="G106" s="33" t="n">
        <f aca="false">E106-F106</f>
        <v>16076</v>
      </c>
      <c r="H106" s="33" t="n">
        <f aca="false">IF(D106&lt;=0,0,MIN(SUMIF('Loan Details'!$G$6:$G$20,A106,'Loan Details'!$H$6:$H$20),D106-G106))</f>
        <v>0</v>
      </c>
      <c r="I106" s="33" t="n">
        <f aca="false">MAX(0,D106-G106-H106)</f>
        <v>1432481</v>
      </c>
      <c r="J106" s="33" t="n">
        <f aca="false">IF(D106&lt;=0,0,IF(AND('Loan Details'!$B$10="Keep tenure, change EMI",OR(C106&lt;&gt;C105,H105&gt;0)),ROUND(PMT(C106/12,MAX(1,'Loan Details'!$B$8-A106+1),-D106),0),J105))</f>
        <v>26035</v>
      </c>
    </row>
    <row r="107" customFormat="false" ht="15" hidden="false" customHeight="true" outlineLevel="0" collapsed="false">
      <c r="A107" s="24" t="n">
        <f aca="false">103</f>
        <v>103</v>
      </c>
      <c r="B107" s="32" t="n">
        <f aca="false">EDATE('Loan Details'!$B$9,102)</f>
        <v>49253</v>
      </c>
      <c r="C107" s="25" t="n">
        <f aca="false">LOOKUP(A107,'Loan Details'!$J$6:$J$14,'Loan Details'!$K$6:$K$14)</f>
        <v>0.0825</v>
      </c>
      <c r="D107" s="33" t="n">
        <f aca="false">I106</f>
        <v>1432481</v>
      </c>
      <c r="E107" s="33" t="n">
        <f aca="false">IF(D107&lt;=0,0,MIN(J107,D107+F107))</f>
        <v>26035</v>
      </c>
      <c r="F107" s="33" t="n">
        <f aca="false">IF(D107&lt;=0,0,ROUND(D107*C107/12,0))</f>
        <v>9848</v>
      </c>
      <c r="G107" s="33" t="n">
        <f aca="false">E107-F107</f>
        <v>16187</v>
      </c>
      <c r="H107" s="33" t="n">
        <f aca="false">IF(D107&lt;=0,0,MIN(SUMIF('Loan Details'!$G$6:$G$20,A107,'Loan Details'!$H$6:$H$20),D107-G107))</f>
        <v>0</v>
      </c>
      <c r="I107" s="33" t="n">
        <f aca="false">MAX(0,D107-G107-H107)</f>
        <v>1416294</v>
      </c>
      <c r="J107" s="33" t="n">
        <f aca="false">IF(D107&lt;=0,0,IF(AND('Loan Details'!$B$10="Keep tenure, change EMI",OR(C107&lt;&gt;C106,H106&gt;0)),ROUND(PMT(C107/12,MAX(1,'Loan Details'!$B$8-A107+1),-D107),0),J106))</f>
        <v>26035</v>
      </c>
    </row>
    <row r="108" customFormat="false" ht="15" hidden="false" customHeight="true" outlineLevel="0" collapsed="false">
      <c r="A108" s="24" t="n">
        <f aca="false">104</f>
        <v>104</v>
      </c>
      <c r="B108" s="32" t="n">
        <f aca="false">EDATE('Loan Details'!$B$9,103)</f>
        <v>49283</v>
      </c>
      <c r="C108" s="25" t="n">
        <f aca="false">LOOKUP(A108,'Loan Details'!$J$6:$J$14,'Loan Details'!$K$6:$K$14)</f>
        <v>0.0825</v>
      </c>
      <c r="D108" s="33" t="n">
        <f aca="false">I107</f>
        <v>1416294</v>
      </c>
      <c r="E108" s="33" t="n">
        <f aca="false">IF(D108&lt;=0,0,MIN(J108,D108+F108))</f>
        <v>26035</v>
      </c>
      <c r="F108" s="33" t="n">
        <f aca="false">IF(D108&lt;=0,0,ROUND(D108*C108/12,0))</f>
        <v>9737</v>
      </c>
      <c r="G108" s="33" t="n">
        <f aca="false">E108-F108</f>
        <v>16298</v>
      </c>
      <c r="H108" s="33" t="n">
        <f aca="false">IF(D108&lt;=0,0,MIN(SUMIF('Loan Details'!$G$6:$G$20,A108,'Loan Details'!$H$6:$H$20),D108-G108))</f>
        <v>0</v>
      </c>
      <c r="I108" s="33" t="n">
        <f aca="false">MAX(0,D108-G108-H108)</f>
        <v>1399996</v>
      </c>
      <c r="J108" s="33" t="n">
        <f aca="false">IF(D108&lt;=0,0,IF(AND('Loan Details'!$B$10="Keep tenure, change EMI",OR(C108&lt;&gt;C107,H107&gt;0)),ROUND(PMT(C108/12,MAX(1,'Loan Details'!$B$8-A108+1),-D108),0),J107))</f>
        <v>26035</v>
      </c>
    </row>
    <row r="109" customFormat="false" ht="15" hidden="false" customHeight="true" outlineLevel="0" collapsed="false">
      <c r="A109" s="24" t="n">
        <f aca="false">105</f>
        <v>105</v>
      </c>
      <c r="B109" s="32" t="n">
        <f aca="false">EDATE('Loan Details'!$B$9,104)</f>
        <v>49314</v>
      </c>
      <c r="C109" s="25" t="n">
        <f aca="false">LOOKUP(A109,'Loan Details'!$J$6:$J$14,'Loan Details'!$K$6:$K$14)</f>
        <v>0.0825</v>
      </c>
      <c r="D109" s="33" t="n">
        <f aca="false">I108</f>
        <v>1399996</v>
      </c>
      <c r="E109" s="33" t="n">
        <f aca="false">IF(D109&lt;=0,0,MIN(J109,D109+F109))</f>
        <v>26035</v>
      </c>
      <c r="F109" s="33" t="n">
        <f aca="false">IF(D109&lt;=0,0,ROUND(D109*C109/12,0))</f>
        <v>9625</v>
      </c>
      <c r="G109" s="33" t="n">
        <f aca="false">E109-F109</f>
        <v>16410</v>
      </c>
      <c r="H109" s="33" t="n">
        <f aca="false">IF(D109&lt;=0,0,MIN(SUMIF('Loan Details'!$G$6:$G$20,A109,'Loan Details'!$H$6:$H$20),D109-G109))</f>
        <v>0</v>
      </c>
      <c r="I109" s="33" t="n">
        <f aca="false">MAX(0,D109-G109-H109)</f>
        <v>1383586</v>
      </c>
      <c r="J109" s="33" t="n">
        <f aca="false">IF(D109&lt;=0,0,IF(AND('Loan Details'!$B$10="Keep tenure, change EMI",OR(C109&lt;&gt;C108,H108&gt;0)),ROUND(PMT(C109/12,MAX(1,'Loan Details'!$B$8-A109+1),-D109),0),J108))</f>
        <v>26035</v>
      </c>
    </row>
    <row r="110" customFormat="false" ht="15" hidden="false" customHeight="true" outlineLevel="0" collapsed="false">
      <c r="A110" s="24" t="n">
        <f aca="false">106</f>
        <v>106</v>
      </c>
      <c r="B110" s="32" t="n">
        <f aca="false">EDATE('Loan Details'!$B$9,105)</f>
        <v>49345</v>
      </c>
      <c r="C110" s="25" t="n">
        <f aca="false">LOOKUP(A110,'Loan Details'!$J$6:$J$14,'Loan Details'!$K$6:$K$14)</f>
        <v>0.0825</v>
      </c>
      <c r="D110" s="33" t="n">
        <f aca="false">I109</f>
        <v>1383586</v>
      </c>
      <c r="E110" s="33" t="n">
        <f aca="false">IF(D110&lt;=0,0,MIN(J110,D110+F110))</f>
        <v>26035</v>
      </c>
      <c r="F110" s="33" t="n">
        <f aca="false">IF(D110&lt;=0,0,ROUND(D110*C110/12,0))</f>
        <v>9512</v>
      </c>
      <c r="G110" s="33" t="n">
        <f aca="false">E110-F110</f>
        <v>16523</v>
      </c>
      <c r="H110" s="33" t="n">
        <f aca="false">IF(D110&lt;=0,0,MIN(SUMIF('Loan Details'!$G$6:$G$20,A110,'Loan Details'!$H$6:$H$20),D110-G110))</f>
        <v>0</v>
      </c>
      <c r="I110" s="33" t="n">
        <f aca="false">MAX(0,D110-G110-H110)</f>
        <v>1367063</v>
      </c>
      <c r="J110" s="33" t="n">
        <f aca="false">IF(D110&lt;=0,0,IF(AND('Loan Details'!$B$10="Keep tenure, change EMI",OR(C110&lt;&gt;C109,H109&gt;0)),ROUND(PMT(C110/12,MAX(1,'Loan Details'!$B$8-A110+1),-D110),0),J109))</f>
        <v>26035</v>
      </c>
    </row>
    <row r="111" customFormat="false" ht="15" hidden="false" customHeight="true" outlineLevel="0" collapsed="false">
      <c r="A111" s="24" t="n">
        <f aca="false">107</f>
        <v>107</v>
      </c>
      <c r="B111" s="32" t="n">
        <f aca="false">EDATE('Loan Details'!$B$9,106)</f>
        <v>49373</v>
      </c>
      <c r="C111" s="25" t="n">
        <f aca="false">LOOKUP(A111,'Loan Details'!$J$6:$J$14,'Loan Details'!$K$6:$K$14)</f>
        <v>0.0825</v>
      </c>
      <c r="D111" s="33" t="n">
        <f aca="false">I110</f>
        <v>1367063</v>
      </c>
      <c r="E111" s="33" t="n">
        <f aca="false">IF(D111&lt;=0,0,MIN(J111,D111+F111))</f>
        <v>26035</v>
      </c>
      <c r="F111" s="33" t="n">
        <f aca="false">IF(D111&lt;=0,0,ROUND(D111*C111/12,0))</f>
        <v>9399</v>
      </c>
      <c r="G111" s="33" t="n">
        <f aca="false">E111-F111</f>
        <v>16636</v>
      </c>
      <c r="H111" s="33" t="n">
        <f aca="false">IF(D111&lt;=0,0,MIN(SUMIF('Loan Details'!$G$6:$G$20,A111,'Loan Details'!$H$6:$H$20),D111-G111))</f>
        <v>0</v>
      </c>
      <c r="I111" s="33" t="n">
        <f aca="false">MAX(0,D111-G111-H111)</f>
        <v>1350427</v>
      </c>
      <c r="J111" s="33" t="n">
        <f aca="false">IF(D111&lt;=0,0,IF(AND('Loan Details'!$B$10="Keep tenure, change EMI",OR(C111&lt;&gt;C110,H110&gt;0)),ROUND(PMT(C111/12,MAX(1,'Loan Details'!$B$8-A111+1),-D111),0),J110))</f>
        <v>26035</v>
      </c>
    </row>
    <row r="112" customFormat="false" ht="15" hidden="false" customHeight="true" outlineLevel="0" collapsed="false">
      <c r="A112" s="24" t="n">
        <f aca="false">108</f>
        <v>108</v>
      </c>
      <c r="B112" s="32" t="n">
        <f aca="false">EDATE('Loan Details'!$B$9,107)</f>
        <v>49404</v>
      </c>
      <c r="C112" s="25" t="n">
        <f aca="false">LOOKUP(A112,'Loan Details'!$J$6:$J$14,'Loan Details'!$K$6:$K$14)</f>
        <v>0.0825</v>
      </c>
      <c r="D112" s="33" t="n">
        <f aca="false">I111</f>
        <v>1350427</v>
      </c>
      <c r="E112" s="33" t="n">
        <f aca="false">IF(D112&lt;=0,0,MIN(J112,D112+F112))</f>
        <v>26035</v>
      </c>
      <c r="F112" s="33" t="n">
        <f aca="false">IF(D112&lt;=0,0,ROUND(D112*C112/12,0))</f>
        <v>9284</v>
      </c>
      <c r="G112" s="33" t="n">
        <f aca="false">E112-F112</f>
        <v>16751</v>
      </c>
      <c r="H112" s="33" t="n">
        <f aca="false">IF(D112&lt;=0,0,MIN(SUMIF('Loan Details'!$G$6:$G$20,A112,'Loan Details'!$H$6:$H$20),D112-G112))</f>
        <v>0</v>
      </c>
      <c r="I112" s="33" t="n">
        <f aca="false">MAX(0,D112-G112-H112)</f>
        <v>1333676</v>
      </c>
      <c r="J112" s="33" t="n">
        <f aca="false">IF(D112&lt;=0,0,IF(AND('Loan Details'!$B$10="Keep tenure, change EMI",OR(C112&lt;&gt;C111,H111&gt;0)),ROUND(PMT(C112/12,MAX(1,'Loan Details'!$B$8-A112+1),-D112),0),J111))</f>
        <v>26035</v>
      </c>
    </row>
    <row r="113" customFormat="false" ht="15" hidden="false" customHeight="true" outlineLevel="0" collapsed="false">
      <c r="A113" s="24" t="n">
        <f aca="false">109</f>
        <v>109</v>
      </c>
      <c r="B113" s="32" t="n">
        <f aca="false">EDATE('Loan Details'!$B$9,108)</f>
        <v>49434</v>
      </c>
      <c r="C113" s="25" t="n">
        <f aca="false">LOOKUP(A113,'Loan Details'!$J$6:$J$14,'Loan Details'!$K$6:$K$14)</f>
        <v>0.0825</v>
      </c>
      <c r="D113" s="33" t="n">
        <f aca="false">I112</f>
        <v>1333676</v>
      </c>
      <c r="E113" s="33" t="n">
        <f aca="false">IF(D113&lt;=0,0,MIN(J113,D113+F113))</f>
        <v>26035</v>
      </c>
      <c r="F113" s="33" t="n">
        <f aca="false">IF(D113&lt;=0,0,ROUND(D113*C113/12,0))</f>
        <v>9169</v>
      </c>
      <c r="G113" s="33" t="n">
        <f aca="false">E113-F113</f>
        <v>16866</v>
      </c>
      <c r="H113" s="33" t="n">
        <f aca="false">IF(D113&lt;=0,0,MIN(SUMIF('Loan Details'!$G$6:$G$20,A113,'Loan Details'!$H$6:$H$20),D113-G113))</f>
        <v>0</v>
      </c>
      <c r="I113" s="33" t="n">
        <f aca="false">MAX(0,D113-G113-H113)</f>
        <v>1316810</v>
      </c>
      <c r="J113" s="33" t="n">
        <f aca="false">IF(D113&lt;=0,0,IF(AND('Loan Details'!$B$10="Keep tenure, change EMI",OR(C113&lt;&gt;C112,H112&gt;0)),ROUND(PMT(C113/12,MAX(1,'Loan Details'!$B$8-A113+1),-D113),0),J112))</f>
        <v>26035</v>
      </c>
    </row>
    <row r="114" customFormat="false" ht="15" hidden="false" customHeight="true" outlineLevel="0" collapsed="false">
      <c r="A114" s="24" t="n">
        <f aca="false">110</f>
        <v>110</v>
      </c>
      <c r="B114" s="32" t="n">
        <f aca="false">EDATE('Loan Details'!$B$9,109)</f>
        <v>49465</v>
      </c>
      <c r="C114" s="25" t="n">
        <f aca="false">LOOKUP(A114,'Loan Details'!$J$6:$J$14,'Loan Details'!$K$6:$K$14)</f>
        <v>0.0825</v>
      </c>
      <c r="D114" s="33" t="n">
        <f aca="false">I113</f>
        <v>1316810</v>
      </c>
      <c r="E114" s="33" t="n">
        <f aca="false">IF(D114&lt;=0,0,MIN(J114,D114+F114))</f>
        <v>26035</v>
      </c>
      <c r="F114" s="33" t="n">
        <f aca="false">IF(D114&lt;=0,0,ROUND(D114*C114/12,0))</f>
        <v>9053</v>
      </c>
      <c r="G114" s="33" t="n">
        <f aca="false">E114-F114</f>
        <v>16982</v>
      </c>
      <c r="H114" s="33" t="n">
        <f aca="false">IF(D114&lt;=0,0,MIN(SUMIF('Loan Details'!$G$6:$G$20,A114,'Loan Details'!$H$6:$H$20),D114-G114))</f>
        <v>0</v>
      </c>
      <c r="I114" s="33" t="n">
        <f aca="false">MAX(0,D114-G114-H114)</f>
        <v>1299828</v>
      </c>
      <c r="J114" s="33" t="n">
        <f aca="false">IF(D114&lt;=0,0,IF(AND('Loan Details'!$B$10="Keep tenure, change EMI",OR(C114&lt;&gt;C113,H113&gt;0)),ROUND(PMT(C114/12,MAX(1,'Loan Details'!$B$8-A114+1),-D114),0),J113))</f>
        <v>26035</v>
      </c>
    </row>
    <row r="115" customFormat="false" ht="15" hidden="false" customHeight="true" outlineLevel="0" collapsed="false">
      <c r="A115" s="24" t="n">
        <f aca="false">111</f>
        <v>111</v>
      </c>
      <c r="B115" s="32" t="n">
        <f aca="false">EDATE('Loan Details'!$B$9,110)</f>
        <v>49495</v>
      </c>
      <c r="C115" s="25" t="n">
        <f aca="false">LOOKUP(A115,'Loan Details'!$J$6:$J$14,'Loan Details'!$K$6:$K$14)</f>
        <v>0.0825</v>
      </c>
      <c r="D115" s="33" t="n">
        <f aca="false">I114</f>
        <v>1299828</v>
      </c>
      <c r="E115" s="33" t="n">
        <f aca="false">IF(D115&lt;=0,0,MIN(J115,D115+F115))</f>
        <v>26035</v>
      </c>
      <c r="F115" s="33" t="n">
        <f aca="false">IF(D115&lt;=0,0,ROUND(D115*C115/12,0))</f>
        <v>8936</v>
      </c>
      <c r="G115" s="33" t="n">
        <f aca="false">E115-F115</f>
        <v>17099</v>
      </c>
      <c r="H115" s="33" t="n">
        <f aca="false">IF(D115&lt;=0,0,MIN(SUMIF('Loan Details'!$G$6:$G$20,A115,'Loan Details'!$H$6:$H$20),D115-G115))</f>
        <v>0</v>
      </c>
      <c r="I115" s="33" t="n">
        <f aca="false">MAX(0,D115-G115-H115)</f>
        <v>1282729</v>
      </c>
      <c r="J115" s="33" t="n">
        <f aca="false">IF(D115&lt;=0,0,IF(AND('Loan Details'!$B$10="Keep tenure, change EMI",OR(C115&lt;&gt;C114,H114&gt;0)),ROUND(PMT(C115/12,MAX(1,'Loan Details'!$B$8-A115+1),-D115),0),J114))</f>
        <v>26035</v>
      </c>
    </row>
    <row r="116" customFormat="false" ht="15" hidden="false" customHeight="true" outlineLevel="0" collapsed="false">
      <c r="A116" s="24" t="n">
        <f aca="false">112</f>
        <v>112</v>
      </c>
      <c r="B116" s="32" t="n">
        <f aca="false">EDATE('Loan Details'!$B$9,111)</f>
        <v>49526</v>
      </c>
      <c r="C116" s="25" t="n">
        <f aca="false">LOOKUP(A116,'Loan Details'!$J$6:$J$14,'Loan Details'!$K$6:$K$14)</f>
        <v>0.0825</v>
      </c>
      <c r="D116" s="33" t="n">
        <f aca="false">I115</f>
        <v>1282729</v>
      </c>
      <c r="E116" s="33" t="n">
        <f aca="false">IF(D116&lt;=0,0,MIN(J116,D116+F116))</f>
        <v>26035</v>
      </c>
      <c r="F116" s="33" t="n">
        <f aca="false">IF(D116&lt;=0,0,ROUND(D116*C116/12,0))</f>
        <v>8819</v>
      </c>
      <c r="G116" s="33" t="n">
        <f aca="false">E116-F116</f>
        <v>17216</v>
      </c>
      <c r="H116" s="33" t="n">
        <f aca="false">IF(D116&lt;=0,0,MIN(SUMIF('Loan Details'!$G$6:$G$20,A116,'Loan Details'!$H$6:$H$20),D116-G116))</f>
        <v>0</v>
      </c>
      <c r="I116" s="33" t="n">
        <f aca="false">MAX(0,D116-G116-H116)</f>
        <v>1265513</v>
      </c>
      <c r="J116" s="33" t="n">
        <f aca="false">IF(D116&lt;=0,0,IF(AND('Loan Details'!$B$10="Keep tenure, change EMI",OR(C116&lt;&gt;C115,H115&gt;0)),ROUND(PMT(C116/12,MAX(1,'Loan Details'!$B$8-A116+1),-D116),0),J115))</f>
        <v>26035</v>
      </c>
    </row>
    <row r="117" customFormat="false" ht="15" hidden="false" customHeight="true" outlineLevel="0" collapsed="false">
      <c r="A117" s="24" t="n">
        <f aca="false">113</f>
        <v>113</v>
      </c>
      <c r="B117" s="32" t="n">
        <f aca="false">EDATE('Loan Details'!$B$9,112)</f>
        <v>49557</v>
      </c>
      <c r="C117" s="25" t="n">
        <f aca="false">LOOKUP(A117,'Loan Details'!$J$6:$J$14,'Loan Details'!$K$6:$K$14)</f>
        <v>0.0825</v>
      </c>
      <c r="D117" s="33" t="n">
        <f aca="false">I116</f>
        <v>1265513</v>
      </c>
      <c r="E117" s="33" t="n">
        <f aca="false">IF(D117&lt;=0,0,MIN(J117,D117+F117))</f>
        <v>26035</v>
      </c>
      <c r="F117" s="33" t="n">
        <f aca="false">IF(D117&lt;=0,0,ROUND(D117*C117/12,0))</f>
        <v>8700</v>
      </c>
      <c r="G117" s="33" t="n">
        <f aca="false">E117-F117</f>
        <v>17335</v>
      </c>
      <c r="H117" s="33" t="n">
        <f aca="false">IF(D117&lt;=0,0,MIN(SUMIF('Loan Details'!$G$6:$G$20,A117,'Loan Details'!$H$6:$H$20),D117-G117))</f>
        <v>0</v>
      </c>
      <c r="I117" s="33" t="n">
        <f aca="false">MAX(0,D117-G117-H117)</f>
        <v>1248178</v>
      </c>
      <c r="J117" s="33" t="n">
        <f aca="false">IF(D117&lt;=0,0,IF(AND('Loan Details'!$B$10="Keep tenure, change EMI",OR(C117&lt;&gt;C116,H116&gt;0)),ROUND(PMT(C117/12,MAX(1,'Loan Details'!$B$8-A117+1),-D117),0),J116))</f>
        <v>26035</v>
      </c>
    </row>
    <row r="118" customFormat="false" ht="15" hidden="false" customHeight="true" outlineLevel="0" collapsed="false">
      <c r="A118" s="24" t="n">
        <f aca="false">114</f>
        <v>114</v>
      </c>
      <c r="B118" s="32" t="n">
        <f aca="false">EDATE('Loan Details'!$B$9,113)</f>
        <v>49587</v>
      </c>
      <c r="C118" s="25" t="n">
        <f aca="false">LOOKUP(A118,'Loan Details'!$J$6:$J$14,'Loan Details'!$K$6:$K$14)</f>
        <v>0.0825</v>
      </c>
      <c r="D118" s="33" t="n">
        <f aca="false">I117</f>
        <v>1248178</v>
      </c>
      <c r="E118" s="33" t="n">
        <f aca="false">IF(D118&lt;=0,0,MIN(J118,D118+F118))</f>
        <v>26035</v>
      </c>
      <c r="F118" s="33" t="n">
        <f aca="false">IF(D118&lt;=0,0,ROUND(D118*C118/12,0))</f>
        <v>8581</v>
      </c>
      <c r="G118" s="33" t="n">
        <f aca="false">E118-F118</f>
        <v>17454</v>
      </c>
      <c r="H118" s="33" t="n">
        <f aca="false">IF(D118&lt;=0,0,MIN(SUMIF('Loan Details'!$G$6:$G$20,A118,'Loan Details'!$H$6:$H$20),D118-G118))</f>
        <v>0</v>
      </c>
      <c r="I118" s="33" t="n">
        <f aca="false">MAX(0,D118-G118-H118)</f>
        <v>1230724</v>
      </c>
      <c r="J118" s="33" t="n">
        <f aca="false">IF(D118&lt;=0,0,IF(AND('Loan Details'!$B$10="Keep tenure, change EMI",OR(C118&lt;&gt;C117,H117&gt;0)),ROUND(PMT(C118/12,MAX(1,'Loan Details'!$B$8-A118+1),-D118),0),J117))</f>
        <v>26035</v>
      </c>
    </row>
    <row r="119" customFormat="false" ht="15" hidden="false" customHeight="true" outlineLevel="0" collapsed="false">
      <c r="A119" s="24" t="n">
        <f aca="false">115</f>
        <v>115</v>
      </c>
      <c r="B119" s="32" t="n">
        <f aca="false">EDATE('Loan Details'!$B$9,114)</f>
        <v>49618</v>
      </c>
      <c r="C119" s="25" t="n">
        <f aca="false">LOOKUP(A119,'Loan Details'!$J$6:$J$14,'Loan Details'!$K$6:$K$14)</f>
        <v>0.0825</v>
      </c>
      <c r="D119" s="33" t="n">
        <f aca="false">I118</f>
        <v>1230724</v>
      </c>
      <c r="E119" s="33" t="n">
        <f aca="false">IF(D119&lt;=0,0,MIN(J119,D119+F119))</f>
        <v>26035</v>
      </c>
      <c r="F119" s="33" t="n">
        <f aca="false">IF(D119&lt;=0,0,ROUND(D119*C119/12,0))</f>
        <v>8461</v>
      </c>
      <c r="G119" s="33" t="n">
        <f aca="false">E119-F119</f>
        <v>17574</v>
      </c>
      <c r="H119" s="33" t="n">
        <f aca="false">IF(D119&lt;=0,0,MIN(SUMIF('Loan Details'!$G$6:$G$20,A119,'Loan Details'!$H$6:$H$20),D119-G119))</f>
        <v>0</v>
      </c>
      <c r="I119" s="33" t="n">
        <f aca="false">MAX(0,D119-G119-H119)</f>
        <v>1213150</v>
      </c>
      <c r="J119" s="33" t="n">
        <f aca="false">IF(D119&lt;=0,0,IF(AND('Loan Details'!$B$10="Keep tenure, change EMI",OR(C119&lt;&gt;C118,H118&gt;0)),ROUND(PMT(C119/12,MAX(1,'Loan Details'!$B$8-A119+1),-D119),0),J118))</f>
        <v>26035</v>
      </c>
    </row>
    <row r="120" customFormat="false" ht="15" hidden="false" customHeight="true" outlineLevel="0" collapsed="false">
      <c r="A120" s="24" t="n">
        <f aca="false">116</f>
        <v>116</v>
      </c>
      <c r="B120" s="32" t="n">
        <f aca="false">EDATE('Loan Details'!$B$9,115)</f>
        <v>49648</v>
      </c>
      <c r="C120" s="25" t="n">
        <f aca="false">LOOKUP(A120,'Loan Details'!$J$6:$J$14,'Loan Details'!$K$6:$K$14)</f>
        <v>0.0825</v>
      </c>
      <c r="D120" s="33" t="n">
        <f aca="false">I119</f>
        <v>1213150</v>
      </c>
      <c r="E120" s="33" t="n">
        <f aca="false">IF(D120&lt;=0,0,MIN(J120,D120+F120))</f>
        <v>26035</v>
      </c>
      <c r="F120" s="33" t="n">
        <f aca="false">IF(D120&lt;=0,0,ROUND(D120*C120/12,0))</f>
        <v>8340</v>
      </c>
      <c r="G120" s="33" t="n">
        <f aca="false">E120-F120</f>
        <v>17695</v>
      </c>
      <c r="H120" s="33" t="n">
        <f aca="false">IF(D120&lt;=0,0,MIN(SUMIF('Loan Details'!$G$6:$G$20,A120,'Loan Details'!$H$6:$H$20),D120-G120))</f>
        <v>0</v>
      </c>
      <c r="I120" s="33" t="n">
        <f aca="false">MAX(0,D120-G120-H120)</f>
        <v>1195455</v>
      </c>
      <c r="J120" s="33" t="n">
        <f aca="false">IF(D120&lt;=0,0,IF(AND('Loan Details'!$B$10="Keep tenure, change EMI",OR(C120&lt;&gt;C119,H119&gt;0)),ROUND(PMT(C120/12,MAX(1,'Loan Details'!$B$8-A120+1),-D120),0),J119))</f>
        <v>26035</v>
      </c>
    </row>
    <row r="121" customFormat="false" ht="15" hidden="false" customHeight="true" outlineLevel="0" collapsed="false">
      <c r="A121" s="24" t="n">
        <f aca="false">117</f>
        <v>117</v>
      </c>
      <c r="B121" s="32" t="n">
        <f aca="false">EDATE('Loan Details'!$B$9,116)</f>
        <v>49679</v>
      </c>
      <c r="C121" s="25" t="n">
        <f aca="false">LOOKUP(A121,'Loan Details'!$J$6:$J$14,'Loan Details'!$K$6:$K$14)</f>
        <v>0.0825</v>
      </c>
      <c r="D121" s="33" t="n">
        <f aca="false">I120</f>
        <v>1195455</v>
      </c>
      <c r="E121" s="33" t="n">
        <f aca="false">IF(D121&lt;=0,0,MIN(J121,D121+F121))</f>
        <v>26035</v>
      </c>
      <c r="F121" s="33" t="n">
        <f aca="false">IF(D121&lt;=0,0,ROUND(D121*C121/12,0))</f>
        <v>8219</v>
      </c>
      <c r="G121" s="33" t="n">
        <f aca="false">E121-F121</f>
        <v>17816</v>
      </c>
      <c r="H121" s="33" t="n">
        <f aca="false">IF(D121&lt;=0,0,MIN(SUMIF('Loan Details'!$G$6:$G$20,A121,'Loan Details'!$H$6:$H$20),D121-G121))</f>
        <v>0</v>
      </c>
      <c r="I121" s="33" t="n">
        <f aca="false">MAX(0,D121-G121-H121)</f>
        <v>1177639</v>
      </c>
      <c r="J121" s="33" t="n">
        <f aca="false">IF(D121&lt;=0,0,IF(AND('Loan Details'!$B$10="Keep tenure, change EMI",OR(C121&lt;&gt;C120,H120&gt;0)),ROUND(PMT(C121/12,MAX(1,'Loan Details'!$B$8-A121+1),-D121),0),J120))</f>
        <v>26035</v>
      </c>
    </row>
    <row r="122" customFormat="false" ht="15" hidden="false" customHeight="true" outlineLevel="0" collapsed="false">
      <c r="A122" s="24" t="n">
        <f aca="false">118</f>
        <v>118</v>
      </c>
      <c r="B122" s="32" t="n">
        <f aca="false">EDATE('Loan Details'!$B$9,117)</f>
        <v>49710</v>
      </c>
      <c r="C122" s="25" t="n">
        <f aca="false">LOOKUP(A122,'Loan Details'!$J$6:$J$14,'Loan Details'!$K$6:$K$14)</f>
        <v>0.0825</v>
      </c>
      <c r="D122" s="33" t="n">
        <f aca="false">I121</f>
        <v>1177639</v>
      </c>
      <c r="E122" s="33" t="n">
        <f aca="false">IF(D122&lt;=0,0,MIN(J122,D122+F122))</f>
        <v>26035</v>
      </c>
      <c r="F122" s="33" t="n">
        <f aca="false">IF(D122&lt;=0,0,ROUND(D122*C122/12,0))</f>
        <v>8096</v>
      </c>
      <c r="G122" s="33" t="n">
        <f aca="false">E122-F122</f>
        <v>17939</v>
      </c>
      <c r="H122" s="33" t="n">
        <f aca="false">IF(D122&lt;=0,0,MIN(SUMIF('Loan Details'!$G$6:$G$20,A122,'Loan Details'!$H$6:$H$20),D122-G122))</f>
        <v>0</v>
      </c>
      <c r="I122" s="33" t="n">
        <f aca="false">MAX(0,D122-G122-H122)</f>
        <v>1159700</v>
      </c>
      <c r="J122" s="33" t="n">
        <f aca="false">IF(D122&lt;=0,0,IF(AND('Loan Details'!$B$10="Keep tenure, change EMI",OR(C122&lt;&gt;C121,H121&gt;0)),ROUND(PMT(C122/12,MAX(1,'Loan Details'!$B$8-A122+1),-D122),0),J121))</f>
        <v>26035</v>
      </c>
    </row>
    <row r="123" customFormat="false" ht="15" hidden="false" customHeight="true" outlineLevel="0" collapsed="false">
      <c r="A123" s="24" t="n">
        <f aca="false">119</f>
        <v>119</v>
      </c>
      <c r="B123" s="32" t="n">
        <f aca="false">EDATE('Loan Details'!$B$9,118)</f>
        <v>49739</v>
      </c>
      <c r="C123" s="25" t="n">
        <f aca="false">LOOKUP(A123,'Loan Details'!$J$6:$J$14,'Loan Details'!$K$6:$K$14)</f>
        <v>0.0825</v>
      </c>
      <c r="D123" s="33" t="n">
        <f aca="false">I122</f>
        <v>1159700</v>
      </c>
      <c r="E123" s="33" t="n">
        <f aca="false">IF(D123&lt;=0,0,MIN(J123,D123+F123))</f>
        <v>26035</v>
      </c>
      <c r="F123" s="33" t="n">
        <f aca="false">IF(D123&lt;=0,0,ROUND(D123*C123/12,0))</f>
        <v>7973</v>
      </c>
      <c r="G123" s="33" t="n">
        <f aca="false">E123-F123</f>
        <v>18062</v>
      </c>
      <c r="H123" s="33" t="n">
        <f aca="false">IF(D123&lt;=0,0,MIN(SUMIF('Loan Details'!$G$6:$G$20,A123,'Loan Details'!$H$6:$H$20),D123-G123))</f>
        <v>0</v>
      </c>
      <c r="I123" s="33" t="n">
        <f aca="false">MAX(0,D123-G123-H123)</f>
        <v>1141638</v>
      </c>
      <c r="J123" s="33" t="n">
        <f aca="false">IF(D123&lt;=0,0,IF(AND('Loan Details'!$B$10="Keep tenure, change EMI",OR(C123&lt;&gt;C122,H122&gt;0)),ROUND(PMT(C123/12,MAX(1,'Loan Details'!$B$8-A123+1),-D123),0),J122))</f>
        <v>26035</v>
      </c>
    </row>
    <row r="124" customFormat="false" ht="15" hidden="false" customHeight="true" outlineLevel="0" collapsed="false">
      <c r="A124" s="24" t="n">
        <f aca="false">120</f>
        <v>120</v>
      </c>
      <c r="B124" s="32" t="n">
        <f aca="false">EDATE('Loan Details'!$B$9,119)</f>
        <v>49770</v>
      </c>
      <c r="C124" s="25" t="n">
        <f aca="false">LOOKUP(A124,'Loan Details'!$J$6:$J$14,'Loan Details'!$K$6:$K$14)</f>
        <v>0.0825</v>
      </c>
      <c r="D124" s="33" t="n">
        <f aca="false">I123</f>
        <v>1141638</v>
      </c>
      <c r="E124" s="33" t="n">
        <f aca="false">IF(D124&lt;=0,0,MIN(J124,D124+F124))</f>
        <v>26035</v>
      </c>
      <c r="F124" s="33" t="n">
        <f aca="false">IF(D124&lt;=0,0,ROUND(D124*C124/12,0))</f>
        <v>7849</v>
      </c>
      <c r="G124" s="33" t="n">
        <f aca="false">E124-F124</f>
        <v>18186</v>
      </c>
      <c r="H124" s="33" t="n">
        <f aca="false">IF(D124&lt;=0,0,MIN(SUMIF('Loan Details'!$G$6:$G$20,A124,'Loan Details'!$H$6:$H$20),D124-G124))</f>
        <v>0</v>
      </c>
      <c r="I124" s="33" t="n">
        <f aca="false">MAX(0,D124-G124-H124)</f>
        <v>1123452</v>
      </c>
      <c r="J124" s="33" t="n">
        <f aca="false">IF(D124&lt;=0,0,IF(AND('Loan Details'!$B$10="Keep tenure, change EMI",OR(C124&lt;&gt;C123,H123&gt;0)),ROUND(PMT(C124/12,MAX(1,'Loan Details'!$B$8-A124+1),-D124),0),J123))</f>
        <v>26035</v>
      </c>
    </row>
    <row r="125" customFormat="false" ht="15" hidden="false" customHeight="true" outlineLevel="0" collapsed="false">
      <c r="A125" s="24" t="n">
        <f aca="false">121</f>
        <v>121</v>
      </c>
      <c r="B125" s="32" t="n">
        <f aca="false">EDATE('Loan Details'!$B$9,120)</f>
        <v>49800</v>
      </c>
      <c r="C125" s="25" t="n">
        <f aca="false">LOOKUP(A125,'Loan Details'!$J$6:$J$14,'Loan Details'!$K$6:$K$14)</f>
        <v>0.0825</v>
      </c>
      <c r="D125" s="33" t="n">
        <f aca="false">I124</f>
        <v>1123452</v>
      </c>
      <c r="E125" s="33" t="n">
        <f aca="false">IF(D125&lt;=0,0,MIN(J125,D125+F125))</f>
        <v>26035</v>
      </c>
      <c r="F125" s="33" t="n">
        <f aca="false">IF(D125&lt;=0,0,ROUND(D125*C125/12,0))</f>
        <v>7724</v>
      </c>
      <c r="G125" s="33" t="n">
        <f aca="false">E125-F125</f>
        <v>18311</v>
      </c>
      <c r="H125" s="33" t="n">
        <f aca="false">IF(D125&lt;=0,0,MIN(SUMIF('Loan Details'!$G$6:$G$20,A125,'Loan Details'!$H$6:$H$20),D125-G125))</f>
        <v>0</v>
      </c>
      <c r="I125" s="33" t="n">
        <f aca="false">MAX(0,D125-G125-H125)</f>
        <v>1105141</v>
      </c>
      <c r="J125" s="33" t="n">
        <f aca="false">IF(D125&lt;=0,0,IF(AND('Loan Details'!$B$10="Keep tenure, change EMI",OR(C125&lt;&gt;C124,H124&gt;0)),ROUND(PMT(C125/12,MAX(1,'Loan Details'!$B$8-A125+1),-D125),0),J124))</f>
        <v>26035</v>
      </c>
    </row>
    <row r="126" customFormat="false" ht="15" hidden="false" customHeight="true" outlineLevel="0" collapsed="false">
      <c r="A126" s="24" t="n">
        <f aca="false">122</f>
        <v>122</v>
      </c>
      <c r="B126" s="32" t="n">
        <f aca="false">EDATE('Loan Details'!$B$9,121)</f>
        <v>49831</v>
      </c>
      <c r="C126" s="25" t="n">
        <f aca="false">LOOKUP(A126,'Loan Details'!$J$6:$J$14,'Loan Details'!$K$6:$K$14)</f>
        <v>0.0825</v>
      </c>
      <c r="D126" s="33" t="n">
        <f aca="false">I125</f>
        <v>1105141</v>
      </c>
      <c r="E126" s="33" t="n">
        <f aca="false">IF(D126&lt;=0,0,MIN(J126,D126+F126))</f>
        <v>26035</v>
      </c>
      <c r="F126" s="33" t="n">
        <f aca="false">IF(D126&lt;=0,0,ROUND(D126*C126/12,0))</f>
        <v>7598</v>
      </c>
      <c r="G126" s="33" t="n">
        <f aca="false">E126-F126</f>
        <v>18437</v>
      </c>
      <c r="H126" s="33" t="n">
        <f aca="false">IF(D126&lt;=0,0,MIN(SUMIF('Loan Details'!$G$6:$G$20,A126,'Loan Details'!$H$6:$H$20),D126-G126))</f>
        <v>0</v>
      </c>
      <c r="I126" s="33" t="n">
        <f aca="false">MAX(0,D126-G126-H126)</f>
        <v>1086704</v>
      </c>
      <c r="J126" s="33" t="n">
        <f aca="false">IF(D126&lt;=0,0,IF(AND('Loan Details'!$B$10="Keep tenure, change EMI",OR(C126&lt;&gt;C125,H125&gt;0)),ROUND(PMT(C126/12,MAX(1,'Loan Details'!$B$8-A126+1),-D126),0),J125))</f>
        <v>26035</v>
      </c>
    </row>
    <row r="127" customFormat="false" ht="15" hidden="false" customHeight="true" outlineLevel="0" collapsed="false">
      <c r="A127" s="24" t="n">
        <f aca="false">123</f>
        <v>123</v>
      </c>
      <c r="B127" s="32" t="n">
        <f aca="false">EDATE('Loan Details'!$B$9,122)</f>
        <v>49861</v>
      </c>
      <c r="C127" s="25" t="n">
        <f aca="false">LOOKUP(A127,'Loan Details'!$J$6:$J$14,'Loan Details'!$K$6:$K$14)</f>
        <v>0.0825</v>
      </c>
      <c r="D127" s="33" t="n">
        <f aca="false">I126</f>
        <v>1086704</v>
      </c>
      <c r="E127" s="33" t="n">
        <f aca="false">IF(D127&lt;=0,0,MIN(J127,D127+F127))</f>
        <v>26035</v>
      </c>
      <c r="F127" s="33" t="n">
        <f aca="false">IF(D127&lt;=0,0,ROUND(D127*C127/12,0))</f>
        <v>7471</v>
      </c>
      <c r="G127" s="33" t="n">
        <f aca="false">E127-F127</f>
        <v>18564</v>
      </c>
      <c r="H127" s="33" t="n">
        <f aca="false">IF(D127&lt;=0,0,MIN(SUMIF('Loan Details'!$G$6:$G$20,A127,'Loan Details'!$H$6:$H$20),D127-G127))</f>
        <v>0</v>
      </c>
      <c r="I127" s="33" t="n">
        <f aca="false">MAX(0,D127-G127-H127)</f>
        <v>1068140</v>
      </c>
      <c r="J127" s="33" t="n">
        <f aca="false">IF(D127&lt;=0,0,IF(AND('Loan Details'!$B$10="Keep tenure, change EMI",OR(C127&lt;&gt;C126,H126&gt;0)),ROUND(PMT(C127/12,MAX(1,'Loan Details'!$B$8-A127+1),-D127),0),J126))</f>
        <v>26035</v>
      </c>
    </row>
    <row r="128" customFormat="false" ht="15" hidden="false" customHeight="true" outlineLevel="0" collapsed="false">
      <c r="A128" s="24" t="n">
        <f aca="false">124</f>
        <v>124</v>
      </c>
      <c r="B128" s="32" t="n">
        <f aca="false">EDATE('Loan Details'!$B$9,123)</f>
        <v>49892</v>
      </c>
      <c r="C128" s="25" t="n">
        <f aca="false">LOOKUP(A128,'Loan Details'!$J$6:$J$14,'Loan Details'!$K$6:$K$14)</f>
        <v>0.0825</v>
      </c>
      <c r="D128" s="33" t="n">
        <f aca="false">I127</f>
        <v>1068140</v>
      </c>
      <c r="E128" s="33" t="n">
        <f aca="false">IF(D128&lt;=0,0,MIN(J128,D128+F128))</f>
        <v>26035</v>
      </c>
      <c r="F128" s="33" t="n">
        <f aca="false">IF(D128&lt;=0,0,ROUND(D128*C128/12,0))</f>
        <v>7343</v>
      </c>
      <c r="G128" s="33" t="n">
        <f aca="false">E128-F128</f>
        <v>18692</v>
      </c>
      <c r="H128" s="33" t="n">
        <f aca="false">IF(D128&lt;=0,0,MIN(SUMIF('Loan Details'!$G$6:$G$20,A128,'Loan Details'!$H$6:$H$20),D128-G128))</f>
        <v>0</v>
      </c>
      <c r="I128" s="33" t="n">
        <f aca="false">MAX(0,D128-G128-H128)</f>
        <v>1049448</v>
      </c>
      <c r="J128" s="33" t="n">
        <f aca="false">IF(D128&lt;=0,0,IF(AND('Loan Details'!$B$10="Keep tenure, change EMI",OR(C128&lt;&gt;C127,H127&gt;0)),ROUND(PMT(C128/12,MAX(1,'Loan Details'!$B$8-A128+1),-D128),0),J127))</f>
        <v>26035</v>
      </c>
    </row>
    <row r="129" customFormat="false" ht="15" hidden="false" customHeight="true" outlineLevel="0" collapsed="false">
      <c r="A129" s="24" t="n">
        <f aca="false">125</f>
        <v>125</v>
      </c>
      <c r="B129" s="32" t="n">
        <f aca="false">EDATE('Loan Details'!$B$9,124)</f>
        <v>49923</v>
      </c>
      <c r="C129" s="25" t="n">
        <f aca="false">LOOKUP(A129,'Loan Details'!$J$6:$J$14,'Loan Details'!$K$6:$K$14)</f>
        <v>0.0825</v>
      </c>
      <c r="D129" s="33" t="n">
        <f aca="false">I128</f>
        <v>1049448</v>
      </c>
      <c r="E129" s="33" t="n">
        <f aca="false">IF(D129&lt;=0,0,MIN(J129,D129+F129))</f>
        <v>26035</v>
      </c>
      <c r="F129" s="33" t="n">
        <f aca="false">IF(D129&lt;=0,0,ROUND(D129*C129/12,0))</f>
        <v>7215</v>
      </c>
      <c r="G129" s="33" t="n">
        <f aca="false">E129-F129</f>
        <v>18820</v>
      </c>
      <c r="H129" s="33" t="n">
        <f aca="false">IF(D129&lt;=0,0,MIN(SUMIF('Loan Details'!$G$6:$G$20,A129,'Loan Details'!$H$6:$H$20),D129-G129))</f>
        <v>0</v>
      </c>
      <c r="I129" s="33" t="n">
        <f aca="false">MAX(0,D129-G129-H129)</f>
        <v>1030628</v>
      </c>
      <c r="J129" s="33" t="n">
        <f aca="false">IF(D129&lt;=0,0,IF(AND('Loan Details'!$B$10="Keep tenure, change EMI",OR(C129&lt;&gt;C128,H128&gt;0)),ROUND(PMT(C129/12,MAX(1,'Loan Details'!$B$8-A129+1),-D129),0),J128))</f>
        <v>26035</v>
      </c>
    </row>
    <row r="130" customFormat="false" ht="15" hidden="false" customHeight="true" outlineLevel="0" collapsed="false">
      <c r="A130" s="24" t="n">
        <f aca="false">126</f>
        <v>126</v>
      </c>
      <c r="B130" s="32" t="n">
        <f aca="false">EDATE('Loan Details'!$B$9,125)</f>
        <v>49953</v>
      </c>
      <c r="C130" s="25" t="n">
        <f aca="false">LOOKUP(A130,'Loan Details'!$J$6:$J$14,'Loan Details'!$K$6:$K$14)</f>
        <v>0.0825</v>
      </c>
      <c r="D130" s="33" t="n">
        <f aca="false">I129</f>
        <v>1030628</v>
      </c>
      <c r="E130" s="33" t="n">
        <f aca="false">IF(D130&lt;=0,0,MIN(J130,D130+F130))</f>
        <v>26035</v>
      </c>
      <c r="F130" s="33" t="n">
        <f aca="false">IF(D130&lt;=0,0,ROUND(D130*C130/12,0))</f>
        <v>7086</v>
      </c>
      <c r="G130" s="33" t="n">
        <f aca="false">E130-F130</f>
        <v>18949</v>
      </c>
      <c r="H130" s="33" t="n">
        <f aca="false">IF(D130&lt;=0,0,MIN(SUMIF('Loan Details'!$G$6:$G$20,A130,'Loan Details'!$H$6:$H$20),D130-G130))</f>
        <v>0</v>
      </c>
      <c r="I130" s="33" t="n">
        <f aca="false">MAX(0,D130-G130-H130)</f>
        <v>1011679</v>
      </c>
      <c r="J130" s="33" t="n">
        <f aca="false">IF(D130&lt;=0,0,IF(AND('Loan Details'!$B$10="Keep tenure, change EMI",OR(C130&lt;&gt;C129,H129&gt;0)),ROUND(PMT(C130/12,MAX(1,'Loan Details'!$B$8-A130+1),-D130),0),J129))</f>
        <v>26035</v>
      </c>
    </row>
    <row r="131" customFormat="false" ht="15" hidden="false" customHeight="true" outlineLevel="0" collapsed="false">
      <c r="A131" s="24" t="n">
        <f aca="false">127</f>
        <v>127</v>
      </c>
      <c r="B131" s="32" t="n">
        <f aca="false">EDATE('Loan Details'!$B$9,126)</f>
        <v>49984</v>
      </c>
      <c r="C131" s="25" t="n">
        <f aca="false">LOOKUP(A131,'Loan Details'!$J$6:$J$14,'Loan Details'!$K$6:$K$14)</f>
        <v>0.0825</v>
      </c>
      <c r="D131" s="33" t="n">
        <f aca="false">I130</f>
        <v>1011679</v>
      </c>
      <c r="E131" s="33" t="n">
        <f aca="false">IF(D131&lt;=0,0,MIN(J131,D131+F131))</f>
        <v>26035</v>
      </c>
      <c r="F131" s="33" t="n">
        <f aca="false">IF(D131&lt;=0,0,ROUND(D131*C131/12,0))</f>
        <v>6955</v>
      </c>
      <c r="G131" s="33" t="n">
        <f aca="false">E131-F131</f>
        <v>19080</v>
      </c>
      <c r="H131" s="33" t="n">
        <f aca="false">IF(D131&lt;=0,0,MIN(SUMIF('Loan Details'!$G$6:$G$20,A131,'Loan Details'!$H$6:$H$20),D131-G131))</f>
        <v>0</v>
      </c>
      <c r="I131" s="33" t="n">
        <f aca="false">MAX(0,D131-G131-H131)</f>
        <v>992599</v>
      </c>
      <c r="J131" s="33" t="n">
        <f aca="false">IF(D131&lt;=0,0,IF(AND('Loan Details'!$B$10="Keep tenure, change EMI",OR(C131&lt;&gt;C130,H130&gt;0)),ROUND(PMT(C131/12,MAX(1,'Loan Details'!$B$8-A131+1),-D131),0),J130))</f>
        <v>26035</v>
      </c>
    </row>
    <row r="132" customFormat="false" ht="15" hidden="false" customHeight="true" outlineLevel="0" collapsed="false">
      <c r="A132" s="24" t="n">
        <f aca="false">128</f>
        <v>128</v>
      </c>
      <c r="B132" s="32" t="n">
        <f aca="false">EDATE('Loan Details'!$B$9,127)</f>
        <v>50014</v>
      </c>
      <c r="C132" s="25" t="n">
        <f aca="false">LOOKUP(A132,'Loan Details'!$J$6:$J$14,'Loan Details'!$K$6:$K$14)</f>
        <v>0.0825</v>
      </c>
      <c r="D132" s="33" t="n">
        <f aca="false">I131</f>
        <v>992599</v>
      </c>
      <c r="E132" s="33" t="n">
        <f aca="false">IF(D132&lt;=0,0,MIN(J132,D132+F132))</f>
        <v>26035</v>
      </c>
      <c r="F132" s="33" t="n">
        <f aca="false">IF(D132&lt;=0,0,ROUND(D132*C132/12,0))</f>
        <v>6824</v>
      </c>
      <c r="G132" s="33" t="n">
        <f aca="false">E132-F132</f>
        <v>19211</v>
      </c>
      <c r="H132" s="33" t="n">
        <f aca="false">IF(D132&lt;=0,0,MIN(SUMIF('Loan Details'!$G$6:$G$20,A132,'Loan Details'!$H$6:$H$20),D132-G132))</f>
        <v>0</v>
      </c>
      <c r="I132" s="33" t="n">
        <f aca="false">MAX(0,D132-G132-H132)</f>
        <v>973388</v>
      </c>
      <c r="J132" s="33" t="n">
        <f aca="false">IF(D132&lt;=0,0,IF(AND('Loan Details'!$B$10="Keep tenure, change EMI",OR(C132&lt;&gt;C131,H131&gt;0)),ROUND(PMT(C132/12,MAX(1,'Loan Details'!$B$8-A132+1),-D132),0),J131))</f>
        <v>26035</v>
      </c>
    </row>
    <row r="133" customFormat="false" ht="15" hidden="false" customHeight="true" outlineLevel="0" collapsed="false">
      <c r="A133" s="24" t="n">
        <f aca="false">129</f>
        <v>129</v>
      </c>
      <c r="B133" s="32" t="n">
        <f aca="false">EDATE('Loan Details'!$B$9,128)</f>
        <v>50045</v>
      </c>
      <c r="C133" s="25" t="n">
        <f aca="false">LOOKUP(A133,'Loan Details'!$J$6:$J$14,'Loan Details'!$K$6:$K$14)</f>
        <v>0.0825</v>
      </c>
      <c r="D133" s="33" t="n">
        <f aca="false">I132</f>
        <v>973388</v>
      </c>
      <c r="E133" s="33" t="n">
        <f aca="false">IF(D133&lt;=0,0,MIN(J133,D133+F133))</f>
        <v>26035</v>
      </c>
      <c r="F133" s="33" t="n">
        <f aca="false">IF(D133&lt;=0,0,ROUND(D133*C133/12,0))</f>
        <v>6692</v>
      </c>
      <c r="G133" s="33" t="n">
        <f aca="false">E133-F133</f>
        <v>19343</v>
      </c>
      <c r="H133" s="33" t="n">
        <f aca="false">IF(D133&lt;=0,0,MIN(SUMIF('Loan Details'!$G$6:$G$20,A133,'Loan Details'!$H$6:$H$20),D133-G133))</f>
        <v>0</v>
      </c>
      <c r="I133" s="33" t="n">
        <f aca="false">MAX(0,D133-G133-H133)</f>
        <v>954045</v>
      </c>
      <c r="J133" s="33" t="n">
        <f aca="false">IF(D133&lt;=0,0,IF(AND('Loan Details'!$B$10="Keep tenure, change EMI",OR(C133&lt;&gt;C132,H132&gt;0)),ROUND(PMT(C133/12,MAX(1,'Loan Details'!$B$8-A133+1),-D133),0),J132))</f>
        <v>26035</v>
      </c>
    </row>
    <row r="134" customFormat="false" ht="15" hidden="false" customHeight="true" outlineLevel="0" collapsed="false">
      <c r="A134" s="24" t="n">
        <f aca="false">130</f>
        <v>130</v>
      </c>
      <c r="B134" s="32" t="n">
        <f aca="false">EDATE('Loan Details'!$B$9,129)</f>
        <v>50076</v>
      </c>
      <c r="C134" s="25" t="n">
        <f aca="false">LOOKUP(A134,'Loan Details'!$J$6:$J$14,'Loan Details'!$K$6:$K$14)</f>
        <v>0.0825</v>
      </c>
      <c r="D134" s="33" t="n">
        <f aca="false">I133</f>
        <v>954045</v>
      </c>
      <c r="E134" s="33" t="n">
        <f aca="false">IF(D134&lt;=0,0,MIN(J134,D134+F134))</f>
        <v>26035</v>
      </c>
      <c r="F134" s="33" t="n">
        <f aca="false">IF(D134&lt;=0,0,ROUND(D134*C134/12,0))</f>
        <v>6559</v>
      </c>
      <c r="G134" s="33" t="n">
        <f aca="false">E134-F134</f>
        <v>19476</v>
      </c>
      <c r="H134" s="33" t="n">
        <f aca="false">IF(D134&lt;=0,0,MIN(SUMIF('Loan Details'!$G$6:$G$20,A134,'Loan Details'!$H$6:$H$20),D134-G134))</f>
        <v>0</v>
      </c>
      <c r="I134" s="33" t="n">
        <f aca="false">MAX(0,D134-G134-H134)</f>
        <v>934569</v>
      </c>
      <c r="J134" s="33" t="n">
        <f aca="false">IF(D134&lt;=0,0,IF(AND('Loan Details'!$B$10="Keep tenure, change EMI",OR(C134&lt;&gt;C133,H133&gt;0)),ROUND(PMT(C134/12,MAX(1,'Loan Details'!$B$8-A134+1),-D134),0),J133))</f>
        <v>26035</v>
      </c>
    </row>
    <row r="135" customFormat="false" ht="15" hidden="false" customHeight="true" outlineLevel="0" collapsed="false">
      <c r="A135" s="24" t="n">
        <f aca="false">131</f>
        <v>131</v>
      </c>
      <c r="B135" s="32" t="n">
        <f aca="false">EDATE('Loan Details'!$B$9,130)</f>
        <v>50104</v>
      </c>
      <c r="C135" s="25" t="n">
        <f aca="false">LOOKUP(A135,'Loan Details'!$J$6:$J$14,'Loan Details'!$K$6:$K$14)</f>
        <v>0.0825</v>
      </c>
      <c r="D135" s="33" t="n">
        <f aca="false">I134</f>
        <v>934569</v>
      </c>
      <c r="E135" s="33" t="n">
        <f aca="false">IF(D135&lt;=0,0,MIN(J135,D135+F135))</f>
        <v>26035</v>
      </c>
      <c r="F135" s="33" t="n">
        <f aca="false">IF(D135&lt;=0,0,ROUND(D135*C135/12,0))</f>
        <v>6425</v>
      </c>
      <c r="G135" s="33" t="n">
        <f aca="false">E135-F135</f>
        <v>19610</v>
      </c>
      <c r="H135" s="33" t="n">
        <f aca="false">IF(D135&lt;=0,0,MIN(SUMIF('Loan Details'!$G$6:$G$20,A135,'Loan Details'!$H$6:$H$20),D135-G135))</f>
        <v>0</v>
      </c>
      <c r="I135" s="33" t="n">
        <f aca="false">MAX(0,D135-G135-H135)</f>
        <v>914959</v>
      </c>
      <c r="J135" s="33" t="n">
        <f aca="false">IF(D135&lt;=0,0,IF(AND('Loan Details'!$B$10="Keep tenure, change EMI",OR(C135&lt;&gt;C134,H134&gt;0)),ROUND(PMT(C135/12,MAX(1,'Loan Details'!$B$8-A135+1),-D135),0),J134))</f>
        <v>26035</v>
      </c>
    </row>
    <row r="136" customFormat="false" ht="15" hidden="false" customHeight="true" outlineLevel="0" collapsed="false">
      <c r="A136" s="24" t="n">
        <f aca="false">132</f>
        <v>132</v>
      </c>
      <c r="B136" s="32" t="n">
        <f aca="false">EDATE('Loan Details'!$B$9,131)</f>
        <v>50135</v>
      </c>
      <c r="C136" s="25" t="n">
        <f aca="false">LOOKUP(A136,'Loan Details'!$J$6:$J$14,'Loan Details'!$K$6:$K$14)</f>
        <v>0.0825</v>
      </c>
      <c r="D136" s="33" t="n">
        <f aca="false">I135</f>
        <v>914959</v>
      </c>
      <c r="E136" s="33" t="n">
        <f aca="false">IF(D136&lt;=0,0,MIN(J136,D136+F136))</f>
        <v>26035</v>
      </c>
      <c r="F136" s="33" t="n">
        <f aca="false">IF(D136&lt;=0,0,ROUND(D136*C136/12,0))</f>
        <v>6290</v>
      </c>
      <c r="G136" s="33" t="n">
        <f aca="false">E136-F136</f>
        <v>19745</v>
      </c>
      <c r="H136" s="33" t="n">
        <f aca="false">IF(D136&lt;=0,0,MIN(SUMIF('Loan Details'!$G$6:$G$20,A136,'Loan Details'!$H$6:$H$20),D136-G136))</f>
        <v>0</v>
      </c>
      <c r="I136" s="33" t="n">
        <f aca="false">MAX(0,D136-G136-H136)</f>
        <v>895214</v>
      </c>
      <c r="J136" s="33" t="n">
        <f aca="false">IF(D136&lt;=0,0,IF(AND('Loan Details'!$B$10="Keep tenure, change EMI",OR(C136&lt;&gt;C135,H135&gt;0)),ROUND(PMT(C136/12,MAX(1,'Loan Details'!$B$8-A136+1),-D136),0),J135))</f>
        <v>26035</v>
      </c>
    </row>
    <row r="137" customFormat="false" ht="15" hidden="false" customHeight="true" outlineLevel="0" collapsed="false">
      <c r="A137" s="24" t="n">
        <f aca="false">133</f>
        <v>133</v>
      </c>
      <c r="B137" s="32" t="n">
        <f aca="false">EDATE('Loan Details'!$B$9,132)</f>
        <v>50165</v>
      </c>
      <c r="C137" s="25" t="n">
        <f aca="false">LOOKUP(A137,'Loan Details'!$J$6:$J$14,'Loan Details'!$K$6:$K$14)</f>
        <v>0.0825</v>
      </c>
      <c r="D137" s="33" t="n">
        <f aca="false">I136</f>
        <v>895214</v>
      </c>
      <c r="E137" s="33" t="n">
        <f aca="false">IF(D137&lt;=0,0,MIN(J137,D137+F137))</f>
        <v>26035</v>
      </c>
      <c r="F137" s="33" t="n">
        <f aca="false">IF(D137&lt;=0,0,ROUND(D137*C137/12,0))</f>
        <v>6155</v>
      </c>
      <c r="G137" s="33" t="n">
        <f aca="false">E137-F137</f>
        <v>19880</v>
      </c>
      <c r="H137" s="33" t="n">
        <f aca="false">IF(D137&lt;=0,0,MIN(SUMIF('Loan Details'!$G$6:$G$20,A137,'Loan Details'!$H$6:$H$20),D137-G137))</f>
        <v>0</v>
      </c>
      <c r="I137" s="33" t="n">
        <f aca="false">MAX(0,D137-G137-H137)</f>
        <v>875334</v>
      </c>
      <c r="J137" s="33" t="n">
        <f aca="false">IF(D137&lt;=0,0,IF(AND('Loan Details'!$B$10="Keep tenure, change EMI",OR(C137&lt;&gt;C136,H136&gt;0)),ROUND(PMT(C137/12,MAX(1,'Loan Details'!$B$8-A137+1),-D137),0),J136))</f>
        <v>26035</v>
      </c>
    </row>
    <row r="138" customFormat="false" ht="15" hidden="false" customHeight="true" outlineLevel="0" collapsed="false">
      <c r="A138" s="24" t="n">
        <f aca="false">134</f>
        <v>134</v>
      </c>
      <c r="B138" s="32" t="n">
        <f aca="false">EDATE('Loan Details'!$B$9,133)</f>
        <v>50196</v>
      </c>
      <c r="C138" s="25" t="n">
        <f aca="false">LOOKUP(A138,'Loan Details'!$J$6:$J$14,'Loan Details'!$K$6:$K$14)</f>
        <v>0.0825</v>
      </c>
      <c r="D138" s="33" t="n">
        <f aca="false">I137</f>
        <v>875334</v>
      </c>
      <c r="E138" s="33" t="n">
        <f aca="false">IF(D138&lt;=0,0,MIN(J138,D138+F138))</f>
        <v>26035</v>
      </c>
      <c r="F138" s="33" t="n">
        <f aca="false">IF(D138&lt;=0,0,ROUND(D138*C138/12,0))</f>
        <v>6018</v>
      </c>
      <c r="G138" s="33" t="n">
        <f aca="false">E138-F138</f>
        <v>20017</v>
      </c>
      <c r="H138" s="33" t="n">
        <f aca="false">IF(D138&lt;=0,0,MIN(SUMIF('Loan Details'!$G$6:$G$20,A138,'Loan Details'!$H$6:$H$20),D138-G138))</f>
        <v>0</v>
      </c>
      <c r="I138" s="33" t="n">
        <f aca="false">MAX(0,D138-G138-H138)</f>
        <v>855317</v>
      </c>
      <c r="J138" s="33" t="n">
        <f aca="false">IF(D138&lt;=0,0,IF(AND('Loan Details'!$B$10="Keep tenure, change EMI",OR(C138&lt;&gt;C137,H137&gt;0)),ROUND(PMT(C138/12,MAX(1,'Loan Details'!$B$8-A138+1),-D138),0),J137))</f>
        <v>26035</v>
      </c>
    </row>
    <row r="139" customFormat="false" ht="15" hidden="false" customHeight="true" outlineLevel="0" collapsed="false">
      <c r="A139" s="24" t="n">
        <f aca="false">135</f>
        <v>135</v>
      </c>
      <c r="B139" s="32" t="n">
        <f aca="false">EDATE('Loan Details'!$B$9,134)</f>
        <v>50226</v>
      </c>
      <c r="C139" s="25" t="n">
        <f aca="false">LOOKUP(A139,'Loan Details'!$J$6:$J$14,'Loan Details'!$K$6:$K$14)</f>
        <v>0.0825</v>
      </c>
      <c r="D139" s="33" t="n">
        <f aca="false">I138</f>
        <v>855317</v>
      </c>
      <c r="E139" s="33" t="n">
        <f aca="false">IF(D139&lt;=0,0,MIN(J139,D139+F139))</f>
        <v>26035</v>
      </c>
      <c r="F139" s="33" t="n">
        <f aca="false">IF(D139&lt;=0,0,ROUND(D139*C139/12,0))</f>
        <v>5880</v>
      </c>
      <c r="G139" s="33" t="n">
        <f aca="false">E139-F139</f>
        <v>20155</v>
      </c>
      <c r="H139" s="33" t="n">
        <f aca="false">IF(D139&lt;=0,0,MIN(SUMIF('Loan Details'!$G$6:$G$20,A139,'Loan Details'!$H$6:$H$20),D139-G139))</f>
        <v>0</v>
      </c>
      <c r="I139" s="33" t="n">
        <f aca="false">MAX(0,D139-G139-H139)</f>
        <v>835162</v>
      </c>
      <c r="J139" s="33" t="n">
        <f aca="false">IF(D139&lt;=0,0,IF(AND('Loan Details'!$B$10="Keep tenure, change EMI",OR(C139&lt;&gt;C138,H138&gt;0)),ROUND(PMT(C139/12,MAX(1,'Loan Details'!$B$8-A139+1),-D139),0),J138))</f>
        <v>26035</v>
      </c>
    </row>
    <row r="140" customFormat="false" ht="15" hidden="false" customHeight="true" outlineLevel="0" collapsed="false">
      <c r="A140" s="24" t="n">
        <f aca="false">136</f>
        <v>136</v>
      </c>
      <c r="B140" s="32" t="n">
        <f aca="false">EDATE('Loan Details'!$B$9,135)</f>
        <v>50257</v>
      </c>
      <c r="C140" s="25" t="n">
        <f aca="false">LOOKUP(A140,'Loan Details'!$J$6:$J$14,'Loan Details'!$K$6:$K$14)</f>
        <v>0.0825</v>
      </c>
      <c r="D140" s="33" t="n">
        <f aca="false">I139</f>
        <v>835162</v>
      </c>
      <c r="E140" s="33" t="n">
        <f aca="false">IF(D140&lt;=0,0,MIN(J140,D140+F140))</f>
        <v>26035</v>
      </c>
      <c r="F140" s="33" t="n">
        <f aca="false">IF(D140&lt;=0,0,ROUND(D140*C140/12,0))</f>
        <v>5742</v>
      </c>
      <c r="G140" s="33" t="n">
        <f aca="false">E140-F140</f>
        <v>20293</v>
      </c>
      <c r="H140" s="33" t="n">
        <f aca="false">IF(D140&lt;=0,0,MIN(SUMIF('Loan Details'!$G$6:$G$20,A140,'Loan Details'!$H$6:$H$20),D140-G140))</f>
        <v>0</v>
      </c>
      <c r="I140" s="33" t="n">
        <f aca="false">MAX(0,D140-G140-H140)</f>
        <v>814869</v>
      </c>
      <c r="J140" s="33" t="n">
        <f aca="false">IF(D140&lt;=0,0,IF(AND('Loan Details'!$B$10="Keep tenure, change EMI",OR(C140&lt;&gt;C139,H139&gt;0)),ROUND(PMT(C140/12,MAX(1,'Loan Details'!$B$8-A140+1),-D140),0),J139))</f>
        <v>26035</v>
      </c>
    </row>
    <row r="141" customFormat="false" ht="15" hidden="false" customHeight="true" outlineLevel="0" collapsed="false">
      <c r="A141" s="24" t="n">
        <f aca="false">137</f>
        <v>137</v>
      </c>
      <c r="B141" s="32" t="n">
        <f aca="false">EDATE('Loan Details'!$B$9,136)</f>
        <v>50288</v>
      </c>
      <c r="C141" s="25" t="n">
        <f aca="false">LOOKUP(A141,'Loan Details'!$J$6:$J$14,'Loan Details'!$K$6:$K$14)</f>
        <v>0.0825</v>
      </c>
      <c r="D141" s="33" t="n">
        <f aca="false">I140</f>
        <v>814869</v>
      </c>
      <c r="E141" s="33" t="n">
        <f aca="false">IF(D141&lt;=0,0,MIN(J141,D141+F141))</f>
        <v>26035</v>
      </c>
      <c r="F141" s="33" t="n">
        <f aca="false">IF(D141&lt;=0,0,ROUND(D141*C141/12,0))</f>
        <v>5602</v>
      </c>
      <c r="G141" s="33" t="n">
        <f aca="false">E141-F141</f>
        <v>20433</v>
      </c>
      <c r="H141" s="33" t="n">
        <f aca="false">IF(D141&lt;=0,0,MIN(SUMIF('Loan Details'!$G$6:$G$20,A141,'Loan Details'!$H$6:$H$20),D141-G141))</f>
        <v>0</v>
      </c>
      <c r="I141" s="33" t="n">
        <f aca="false">MAX(0,D141-G141-H141)</f>
        <v>794436</v>
      </c>
      <c r="J141" s="33" t="n">
        <f aca="false">IF(D141&lt;=0,0,IF(AND('Loan Details'!$B$10="Keep tenure, change EMI",OR(C141&lt;&gt;C140,H140&gt;0)),ROUND(PMT(C141/12,MAX(1,'Loan Details'!$B$8-A141+1),-D141),0),J140))</f>
        <v>26035</v>
      </c>
    </row>
    <row r="142" customFormat="false" ht="15" hidden="false" customHeight="true" outlineLevel="0" collapsed="false">
      <c r="A142" s="24" t="n">
        <f aca="false">138</f>
        <v>138</v>
      </c>
      <c r="B142" s="32" t="n">
        <f aca="false">EDATE('Loan Details'!$B$9,137)</f>
        <v>50318</v>
      </c>
      <c r="C142" s="25" t="n">
        <f aca="false">LOOKUP(A142,'Loan Details'!$J$6:$J$14,'Loan Details'!$K$6:$K$14)</f>
        <v>0.0825</v>
      </c>
      <c r="D142" s="33" t="n">
        <f aca="false">I141</f>
        <v>794436</v>
      </c>
      <c r="E142" s="33" t="n">
        <f aca="false">IF(D142&lt;=0,0,MIN(J142,D142+F142))</f>
        <v>26035</v>
      </c>
      <c r="F142" s="33" t="n">
        <f aca="false">IF(D142&lt;=0,0,ROUND(D142*C142/12,0))</f>
        <v>5462</v>
      </c>
      <c r="G142" s="33" t="n">
        <f aca="false">E142-F142</f>
        <v>20573</v>
      </c>
      <c r="H142" s="33" t="n">
        <f aca="false">IF(D142&lt;=0,0,MIN(SUMIF('Loan Details'!$G$6:$G$20,A142,'Loan Details'!$H$6:$H$20),D142-G142))</f>
        <v>0</v>
      </c>
      <c r="I142" s="33" t="n">
        <f aca="false">MAX(0,D142-G142-H142)</f>
        <v>773863</v>
      </c>
      <c r="J142" s="33" t="n">
        <f aca="false">IF(D142&lt;=0,0,IF(AND('Loan Details'!$B$10="Keep tenure, change EMI",OR(C142&lt;&gt;C141,H141&gt;0)),ROUND(PMT(C142/12,MAX(1,'Loan Details'!$B$8-A142+1),-D142),0),J141))</f>
        <v>26035</v>
      </c>
    </row>
    <row r="143" customFormat="false" ht="15" hidden="false" customHeight="true" outlineLevel="0" collapsed="false">
      <c r="A143" s="24" t="n">
        <f aca="false">139</f>
        <v>139</v>
      </c>
      <c r="B143" s="32" t="n">
        <f aca="false">EDATE('Loan Details'!$B$9,138)</f>
        <v>50349</v>
      </c>
      <c r="C143" s="25" t="n">
        <f aca="false">LOOKUP(A143,'Loan Details'!$J$6:$J$14,'Loan Details'!$K$6:$K$14)</f>
        <v>0.0825</v>
      </c>
      <c r="D143" s="33" t="n">
        <f aca="false">I142</f>
        <v>773863</v>
      </c>
      <c r="E143" s="33" t="n">
        <f aca="false">IF(D143&lt;=0,0,MIN(J143,D143+F143))</f>
        <v>26035</v>
      </c>
      <c r="F143" s="33" t="n">
        <f aca="false">IF(D143&lt;=0,0,ROUND(D143*C143/12,0))</f>
        <v>5320</v>
      </c>
      <c r="G143" s="33" t="n">
        <f aca="false">E143-F143</f>
        <v>20715</v>
      </c>
      <c r="H143" s="33" t="n">
        <f aca="false">IF(D143&lt;=0,0,MIN(SUMIF('Loan Details'!$G$6:$G$20,A143,'Loan Details'!$H$6:$H$20),D143-G143))</f>
        <v>0</v>
      </c>
      <c r="I143" s="33" t="n">
        <f aca="false">MAX(0,D143-G143-H143)</f>
        <v>753148</v>
      </c>
      <c r="J143" s="33" t="n">
        <f aca="false">IF(D143&lt;=0,0,IF(AND('Loan Details'!$B$10="Keep tenure, change EMI",OR(C143&lt;&gt;C142,H142&gt;0)),ROUND(PMT(C143/12,MAX(1,'Loan Details'!$B$8-A143+1),-D143),0),J142))</f>
        <v>26035</v>
      </c>
    </row>
    <row r="144" customFormat="false" ht="15" hidden="false" customHeight="true" outlineLevel="0" collapsed="false">
      <c r="A144" s="24" t="n">
        <f aca="false">140</f>
        <v>140</v>
      </c>
      <c r="B144" s="32" t="n">
        <f aca="false">EDATE('Loan Details'!$B$9,139)</f>
        <v>50379</v>
      </c>
      <c r="C144" s="25" t="n">
        <f aca="false">LOOKUP(A144,'Loan Details'!$J$6:$J$14,'Loan Details'!$K$6:$K$14)</f>
        <v>0.0825</v>
      </c>
      <c r="D144" s="33" t="n">
        <f aca="false">I143</f>
        <v>753148</v>
      </c>
      <c r="E144" s="33" t="n">
        <f aca="false">IF(D144&lt;=0,0,MIN(J144,D144+F144))</f>
        <v>26035</v>
      </c>
      <c r="F144" s="33" t="n">
        <f aca="false">IF(D144&lt;=0,0,ROUND(D144*C144/12,0))</f>
        <v>5178</v>
      </c>
      <c r="G144" s="33" t="n">
        <f aca="false">E144-F144</f>
        <v>20857</v>
      </c>
      <c r="H144" s="33" t="n">
        <f aca="false">IF(D144&lt;=0,0,MIN(SUMIF('Loan Details'!$G$6:$G$20,A144,'Loan Details'!$H$6:$H$20),D144-G144))</f>
        <v>0</v>
      </c>
      <c r="I144" s="33" t="n">
        <f aca="false">MAX(0,D144-G144-H144)</f>
        <v>732291</v>
      </c>
      <c r="J144" s="33" t="n">
        <f aca="false">IF(D144&lt;=0,0,IF(AND('Loan Details'!$B$10="Keep tenure, change EMI",OR(C144&lt;&gt;C143,H143&gt;0)),ROUND(PMT(C144/12,MAX(1,'Loan Details'!$B$8-A144+1),-D144),0),J143))</f>
        <v>26035</v>
      </c>
    </row>
    <row r="145" customFormat="false" ht="15" hidden="false" customHeight="true" outlineLevel="0" collapsed="false">
      <c r="A145" s="24" t="n">
        <f aca="false">141</f>
        <v>141</v>
      </c>
      <c r="B145" s="32" t="n">
        <f aca="false">EDATE('Loan Details'!$B$9,140)</f>
        <v>50410</v>
      </c>
      <c r="C145" s="25" t="n">
        <f aca="false">LOOKUP(A145,'Loan Details'!$J$6:$J$14,'Loan Details'!$K$6:$K$14)</f>
        <v>0.0825</v>
      </c>
      <c r="D145" s="33" t="n">
        <f aca="false">I144</f>
        <v>732291</v>
      </c>
      <c r="E145" s="33" t="n">
        <f aca="false">IF(D145&lt;=0,0,MIN(J145,D145+F145))</f>
        <v>26035</v>
      </c>
      <c r="F145" s="33" t="n">
        <f aca="false">IF(D145&lt;=0,0,ROUND(D145*C145/12,0))</f>
        <v>5035</v>
      </c>
      <c r="G145" s="33" t="n">
        <f aca="false">E145-F145</f>
        <v>21000</v>
      </c>
      <c r="H145" s="33" t="n">
        <f aca="false">IF(D145&lt;=0,0,MIN(SUMIF('Loan Details'!$G$6:$G$20,A145,'Loan Details'!$H$6:$H$20),D145-G145))</f>
        <v>0</v>
      </c>
      <c r="I145" s="33" t="n">
        <f aca="false">MAX(0,D145-G145-H145)</f>
        <v>711291</v>
      </c>
      <c r="J145" s="33" t="n">
        <f aca="false">IF(D145&lt;=0,0,IF(AND('Loan Details'!$B$10="Keep tenure, change EMI",OR(C145&lt;&gt;C144,H144&gt;0)),ROUND(PMT(C145/12,MAX(1,'Loan Details'!$B$8-A145+1),-D145),0),J144))</f>
        <v>26035</v>
      </c>
    </row>
    <row r="146" customFormat="false" ht="15" hidden="false" customHeight="true" outlineLevel="0" collapsed="false">
      <c r="A146" s="24" t="n">
        <f aca="false">142</f>
        <v>142</v>
      </c>
      <c r="B146" s="32" t="n">
        <f aca="false">EDATE('Loan Details'!$B$9,141)</f>
        <v>50441</v>
      </c>
      <c r="C146" s="25" t="n">
        <f aca="false">LOOKUP(A146,'Loan Details'!$J$6:$J$14,'Loan Details'!$K$6:$K$14)</f>
        <v>0.0825</v>
      </c>
      <c r="D146" s="33" t="n">
        <f aca="false">I145</f>
        <v>711291</v>
      </c>
      <c r="E146" s="33" t="n">
        <f aca="false">IF(D146&lt;=0,0,MIN(J146,D146+F146))</f>
        <v>26035</v>
      </c>
      <c r="F146" s="33" t="n">
        <f aca="false">IF(D146&lt;=0,0,ROUND(D146*C146/12,0))</f>
        <v>4890</v>
      </c>
      <c r="G146" s="33" t="n">
        <f aca="false">E146-F146</f>
        <v>21145</v>
      </c>
      <c r="H146" s="33" t="n">
        <f aca="false">IF(D146&lt;=0,0,MIN(SUMIF('Loan Details'!$G$6:$G$20,A146,'Loan Details'!$H$6:$H$20),D146-G146))</f>
        <v>0</v>
      </c>
      <c r="I146" s="33" t="n">
        <f aca="false">MAX(0,D146-G146-H146)</f>
        <v>690146</v>
      </c>
      <c r="J146" s="33" t="n">
        <f aca="false">IF(D146&lt;=0,0,IF(AND('Loan Details'!$B$10="Keep tenure, change EMI",OR(C146&lt;&gt;C145,H145&gt;0)),ROUND(PMT(C146/12,MAX(1,'Loan Details'!$B$8-A146+1),-D146),0),J145))</f>
        <v>26035</v>
      </c>
    </row>
    <row r="147" customFormat="false" ht="15" hidden="false" customHeight="true" outlineLevel="0" collapsed="false">
      <c r="A147" s="24" t="n">
        <f aca="false">143</f>
        <v>143</v>
      </c>
      <c r="B147" s="32" t="n">
        <f aca="false">EDATE('Loan Details'!$B$9,142)</f>
        <v>50469</v>
      </c>
      <c r="C147" s="25" t="n">
        <f aca="false">LOOKUP(A147,'Loan Details'!$J$6:$J$14,'Loan Details'!$K$6:$K$14)</f>
        <v>0.0825</v>
      </c>
      <c r="D147" s="33" t="n">
        <f aca="false">I146</f>
        <v>690146</v>
      </c>
      <c r="E147" s="33" t="n">
        <f aca="false">IF(D147&lt;=0,0,MIN(J147,D147+F147))</f>
        <v>26035</v>
      </c>
      <c r="F147" s="33" t="n">
        <f aca="false">IF(D147&lt;=0,0,ROUND(D147*C147/12,0))</f>
        <v>4745</v>
      </c>
      <c r="G147" s="33" t="n">
        <f aca="false">E147-F147</f>
        <v>21290</v>
      </c>
      <c r="H147" s="33" t="n">
        <f aca="false">IF(D147&lt;=0,0,MIN(SUMIF('Loan Details'!$G$6:$G$20,A147,'Loan Details'!$H$6:$H$20),D147-G147))</f>
        <v>0</v>
      </c>
      <c r="I147" s="33" t="n">
        <f aca="false">MAX(0,D147-G147-H147)</f>
        <v>668856</v>
      </c>
      <c r="J147" s="33" t="n">
        <f aca="false">IF(D147&lt;=0,0,IF(AND('Loan Details'!$B$10="Keep tenure, change EMI",OR(C147&lt;&gt;C146,H146&gt;0)),ROUND(PMT(C147/12,MAX(1,'Loan Details'!$B$8-A147+1),-D147),0),J146))</f>
        <v>26035</v>
      </c>
    </row>
    <row r="148" customFormat="false" ht="15" hidden="false" customHeight="true" outlineLevel="0" collapsed="false">
      <c r="A148" s="24" t="n">
        <f aca="false">144</f>
        <v>144</v>
      </c>
      <c r="B148" s="32" t="n">
        <f aca="false">EDATE('Loan Details'!$B$9,143)</f>
        <v>50500</v>
      </c>
      <c r="C148" s="25" t="n">
        <f aca="false">LOOKUP(A148,'Loan Details'!$J$6:$J$14,'Loan Details'!$K$6:$K$14)</f>
        <v>0.0825</v>
      </c>
      <c r="D148" s="33" t="n">
        <f aca="false">I147</f>
        <v>668856</v>
      </c>
      <c r="E148" s="33" t="n">
        <f aca="false">IF(D148&lt;=0,0,MIN(J148,D148+F148))</f>
        <v>26035</v>
      </c>
      <c r="F148" s="33" t="n">
        <f aca="false">IF(D148&lt;=0,0,ROUND(D148*C148/12,0))</f>
        <v>4598</v>
      </c>
      <c r="G148" s="33" t="n">
        <f aca="false">E148-F148</f>
        <v>21437</v>
      </c>
      <c r="H148" s="33" t="n">
        <f aca="false">IF(D148&lt;=0,0,MIN(SUMIF('Loan Details'!$G$6:$G$20,A148,'Loan Details'!$H$6:$H$20),D148-G148))</f>
        <v>0</v>
      </c>
      <c r="I148" s="33" t="n">
        <f aca="false">MAX(0,D148-G148-H148)</f>
        <v>647419</v>
      </c>
      <c r="J148" s="33" t="n">
        <f aca="false">IF(D148&lt;=0,0,IF(AND('Loan Details'!$B$10="Keep tenure, change EMI",OR(C148&lt;&gt;C147,H147&gt;0)),ROUND(PMT(C148/12,MAX(1,'Loan Details'!$B$8-A148+1),-D148),0),J147))</f>
        <v>26035</v>
      </c>
    </row>
    <row r="149" customFormat="false" ht="15" hidden="false" customHeight="true" outlineLevel="0" collapsed="false">
      <c r="A149" s="24" t="n">
        <f aca="false">145</f>
        <v>145</v>
      </c>
      <c r="B149" s="32" t="n">
        <f aca="false">EDATE('Loan Details'!$B$9,144)</f>
        <v>50530</v>
      </c>
      <c r="C149" s="25" t="n">
        <f aca="false">LOOKUP(A149,'Loan Details'!$J$6:$J$14,'Loan Details'!$K$6:$K$14)</f>
        <v>0.0825</v>
      </c>
      <c r="D149" s="33" t="n">
        <f aca="false">I148</f>
        <v>647419</v>
      </c>
      <c r="E149" s="33" t="n">
        <f aca="false">IF(D149&lt;=0,0,MIN(J149,D149+F149))</f>
        <v>26035</v>
      </c>
      <c r="F149" s="33" t="n">
        <f aca="false">IF(D149&lt;=0,0,ROUND(D149*C149/12,0))</f>
        <v>4451</v>
      </c>
      <c r="G149" s="33" t="n">
        <f aca="false">E149-F149</f>
        <v>21584</v>
      </c>
      <c r="H149" s="33" t="n">
        <f aca="false">IF(D149&lt;=0,0,MIN(SUMIF('Loan Details'!$G$6:$G$20,A149,'Loan Details'!$H$6:$H$20),D149-G149))</f>
        <v>0</v>
      </c>
      <c r="I149" s="33" t="n">
        <f aca="false">MAX(0,D149-G149-H149)</f>
        <v>625835</v>
      </c>
      <c r="J149" s="33" t="n">
        <f aca="false">IF(D149&lt;=0,0,IF(AND('Loan Details'!$B$10="Keep tenure, change EMI",OR(C149&lt;&gt;C148,H148&gt;0)),ROUND(PMT(C149/12,MAX(1,'Loan Details'!$B$8-A149+1),-D149),0),J148))</f>
        <v>26035</v>
      </c>
    </row>
    <row r="150" customFormat="false" ht="15" hidden="false" customHeight="true" outlineLevel="0" collapsed="false">
      <c r="A150" s="24" t="n">
        <f aca="false">146</f>
        <v>146</v>
      </c>
      <c r="B150" s="32" t="n">
        <f aca="false">EDATE('Loan Details'!$B$9,145)</f>
        <v>50561</v>
      </c>
      <c r="C150" s="25" t="n">
        <f aca="false">LOOKUP(A150,'Loan Details'!$J$6:$J$14,'Loan Details'!$K$6:$K$14)</f>
        <v>0.0825</v>
      </c>
      <c r="D150" s="33" t="n">
        <f aca="false">I149</f>
        <v>625835</v>
      </c>
      <c r="E150" s="33" t="n">
        <f aca="false">IF(D150&lt;=0,0,MIN(J150,D150+F150))</f>
        <v>26035</v>
      </c>
      <c r="F150" s="33" t="n">
        <f aca="false">IF(D150&lt;=0,0,ROUND(D150*C150/12,0))</f>
        <v>4303</v>
      </c>
      <c r="G150" s="33" t="n">
        <f aca="false">E150-F150</f>
        <v>21732</v>
      </c>
      <c r="H150" s="33" t="n">
        <f aca="false">IF(D150&lt;=0,0,MIN(SUMIF('Loan Details'!$G$6:$G$20,A150,'Loan Details'!$H$6:$H$20),D150-G150))</f>
        <v>0</v>
      </c>
      <c r="I150" s="33" t="n">
        <f aca="false">MAX(0,D150-G150-H150)</f>
        <v>604103</v>
      </c>
      <c r="J150" s="33" t="n">
        <f aca="false">IF(D150&lt;=0,0,IF(AND('Loan Details'!$B$10="Keep tenure, change EMI",OR(C150&lt;&gt;C149,H149&gt;0)),ROUND(PMT(C150/12,MAX(1,'Loan Details'!$B$8-A150+1),-D150),0),J149))</f>
        <v>26035</v>
      </c>
    </row>
    <row r="151" customFormat="false" ht="15" hidden="false" customHeight="true" outlineLevel="0" collapsed="false">
      <c r="A151" s="24" t="n">
        <f aca="false">147</f>
        <v>147</v>
      </c>
      <c r="B151" s="32" t="n">
        <f aca="false">EDATE('Loan Details'!$B$9,146)</f>
        <v>50591</v>
      </c>
      <c r="C151" s="25" t="n">
        <f aca="false">LOOKUP(A151,'Loan Details'!$J$6:$J$14,'Loan Details'!$K$6:$K$14)</f>
        <v>0.0825</v>
      </c>
      <c r="D151" s="33" t="n">
        <f aca="false">I150</f>
        <v>604103</v>
      </c>
      <c r="E151" s="33" t="n">
        <f aca="false">IF(D151&lt;=0,0,MIN(J151,D151+F151))</f>
        <v>26035</v>
      </c>
      <c r="F151" s="33" t="n">
        <f aca="false">IF(D151&lt;=0,0,ROUND(D151*C151/12,0))</f>
        <v>4153</v>
      </c>
      <c r="G151" s="33" t="n">
        <f aca="false">E151-F151</f>
        <v>21882</v>
      </c>
      <c r="H151" s="33" t="n">
        <f aca="false">IF(D151&lt;=0,0,MIN(SUMIF('Loan Details'!$G$6:$G$20,A151,'Loan Details'!$H$6:$H$20),D151-G151))</f>
        <v>0</v>
      </c>
      <c r="I151" s="33" t="n">
        <f aca="false">MAX(0,D151-G151-H151)</f>
        <v>582221</v>
      </c>
      <c r="J151" s="33" t="n">
        <f aca="false">IF(D151&lt;=0,0,IF(AND('Loan Details'!$B$10="Keep tenure, change EMI",OR(C151&lt;&gt;C150,H150&gt;0)),ROUND(PMT(C151/12,MAX(1,'Loan Details'!$B$8-A151+1),-D151),0),J150))</f>
        <v>26035</v>
      </c>
    </row>
    <row r="152" customFormat="false" ht="15" hidden="false" customHeight="true" outlineLevel="0" collapsed="false">
      <c r="A152" s="24" t="n">
        <f aca="false">148</f>
        <v>148</v>
      </c>
      <c r="B152" s="32" t="n">
        <f aca="false">EDATE('Loan Details'!$B$9,147)</f>
        <v>50622</v>
      </c>
      <c r="C152" s="25" t="n">
        <f aca="false">LOOKUP(A152,'Loan Details'!$J$6:$J$14,'Loan Details'!$K$6:$K$14)</f>
        <v>0.0825</v>
      </c>
      <c r="D152" s="33" t="n">
        <f aca="false">I151</f>
        <v>582221</v>
      </c>
      <c r="E152" s="33" t="n">
        <f aca="false">IF(D152&lt;=0,0,MIN(J152,D152+F152))</f>
        <v>26035</v>
      </c>
      <c r="F152" s="33" t="n">
        <f aca="false">IF(D152&lt;=0,0,ROUND(D152*C152/12,0))</f>
        <v>4003</v>
      </c>
      <c r="G152" s="33" t="n">
        <f aca="false">E152-F152</f>
        <v>22032</v>
      </c>
      <c r="H152" s="33" t="n">
        <f aca="false">IF(D152&lt;=0,0,MIN(SUMIF('Loan Details'!$G$6:$G$20,A152,'Loan Details'!$H$6:$H$20),D152-G152))</f>
        <v>0</v>
      </c>
      <c r="I152" s="33" t="n">
        <f aca="false">MAX(0,D152-G152-H152)</f>
        <v>560189</v>
      </c>
      <c r="J152" s="33" t="n">
        <f aca="false">IF(D152&lt;=0,0,IF(AND('Loan Details'!$B$10="Keep tenure, change EMI",OR(C152&lt;&gt;C151,H151&gt;0)),ROUND(PMT(C152/12,MAX(1,'Loan Details'!$B$8-A152+1),-D152),0),J151))</f>
        <v>26035</v>
      </c>
    </row>
    <row r="153" customFormat="false" ht="15" hidden="false" customHeight="true" outlineLevel="0" collapsed="false">
      <c r="A153" s="24" t="n">
        <f aca="false">149</f>
        <v>149</v>
      </c>
      <c r="B153" s="32" t="n">
        <f aca="false">EDATE('Loan Details'!$B$9,148)</f>
        <v>50653</v>
      </c>
      <c r="C153" s="25" t="n">
        <f aca="false">LOOKUP(A153,'Loan Details'!$J$6:$J$14,'Loan Details'!$K$6:$K$14)</f>
        <v>0.0825</v>
      </c>
      <c r="D153" s="33" t="n">
        <f aca="false">I152</f>
        <v>560189</v>
      </c>
      <c r="E153" s="33" t="n">
        <f aca="false">IF(D153&lt;=0,0,MIN(J153,D153+F153))</f>
        <v>26035</v>
      </c>
      <c r="F153" s="33" t="n">
        <f aca="false">IF(D153&lt;=0,0,ROUND(D153*C153/12,0))</f>
        <v>3851</v>
      </c>
      <c r="G153" s="33" t="n">
        <f aca="false">E153-F153</f>
        <v>22184</v>
      </c>
      <c r="H153" s="33" t="n">
        <f aca="false">IF(D153&lt;=0,0,MIN(SUMIF('Loan Details'!$G$6:$G$20,A153,'Loan Details'!$H$6:$H$20),D153-G153))</f>
        <v>0</v>
      </c>
      <c r="I153" s="33" t="n">
        <f aca="false">MAX(0,D153-G153-H153)</f>
        <v>538005</v>
      </c>
      <c r="J153" s="33" t="n">
        <f aca="false">IF(D153&lt;=0,0,IF(AND('Loan Details'!$B$10="Keep tenure, change EMI",OR(C153&lt;&gt;C152,H152&gt;0)),ROUND(PMT(C153/12,MAX(1,'Loan Details'!$B$8-A153+1),-D153),0),J152))</f>
        <v>26035</v>
      </c>
    </row>
    <row r="154" customFormat="false" ht="15" hidden="false" customHeight="true" outlineLevel="0" collapsed="false">
      <c r="A154" s="24" t="n">
        <f aca="false">150</f>
        <v>150</v>
      </c>
      <c r="B154" s="32" t="n">
        <f aca="false">EDATE('Loan Details'!$B$9,149)</f>
        <v>50683</v>
      </c>
      <c r="C154" s="25" t="n">
        <f aca="false">LOOKUP(A154,'Loan Details'!$J$6:$J$14,'Loan Details'!$K$6:$K$14)</f>
        <v>0.0825</v>
      </c>
      <c r="D154" s="33" t="n">
        <f aca="false">I153</f>
        <v>538005</v>
      </c>
      <c r="E154" s="33" t="n">
        <f aca="false">IF(D154&lt;=0,0,MIN(J154,D154+F154))</f>
        <v>26035</v>
      </c>
      <c r="F154" s="33" t="n">
        <f aca="false">IF(D154&lt;=0,0,ROUND(D154*C154/12,0))</f>
        <v>3699</v>
      </c>
      <c r="G154" s="33" t="n">
        <f aca="false">E154-F154</f>
        <v>22336</v>
      </c>
      <c r="H154" s="33" t="n">
        <f aca="false">IF(D154&lt;=0,0,MIN(SUMIF('Loan Details'!$G$6:$G$20,A154,'Loan Details'!$H$6:$H$20),D154-G154))</f>
        <v>0</v>
      </c>
      <c r="I154" s="33" t="n">
        <f aca="false">MAX(0,D154-G154-H154)</f>
        <v>515669</v>
      </c>
      <c r="J154" s="33" t="n">
        <f aca="false">IF(D154&lt;=0,0,IF(AND('Loan Details'!$B$10="Keep tenure, change EMI",OR(C154&lt;&gt;C153,H153&gt;0)),ROUND(PMT(C154/12,MAX(1,'Loan Details'!$B$8-A154+1),-D154),0),J153))</f>
        <v>26035</v>
      </c>
    </row>
    <row r="155" customFormat="false" ht="15" hidden="false" customHeight="true" outlineLevel="0" collapsed="false">
      <c r="A155" s="24" t="n">
        <f aca="false">151</f>
        <v>151</v>
      </c>
      <c r="B155" s="32" t="n">
        <f aca="false">EDATE('Loan Details'!$B$9,150)</f>
        <v>50714</v>
      </c>
      <c r="C155" s="25" t="n">
        <f aca="false">LOOKUP(A155,'Loan Details'!$J$6:$J$14,'Loan Details'!$K$6:$K$14)</f>
        <v>0.0825</v>
      </c>
      <c r="D155" s="33" t="n">
        <f aca="false">I154</f>
        <v>515669</v>
      </c>
      <c r="E155" s="33" t="n">
        <f aca="false">IF(D155&lt;=0,0,MIN(J155,D155+F155))</f>
        <v>26035</v>
      </c>
      <c r="F155" s="33" t="n">
        <f aca="false">IF(D155&lt;=0,0,ROUND(D155*C155/12,0))</f>
        <v>3545</v>
      </c>
      <c r="G155" s="33" t="n">
        <f aca="false">E155-F155</f>
        <v>22490</v>
      </c>
      <c r="H155" s="33" t="n">
        <f aca="false">IF(D155&lt;=0,0,MIN(SUMIF('Loan Details'!$G$6:$G$20,A155,'Loan Details'!$H$6:$H$20),D155-G155))</f>
        <v>0</v>
      </c>
      <c r="I155" s="33" t="n">
        <f aca="false">MAX(0,D155-G155-H155)</f>
        <v>493179</v>
      </c>
      <c r="J155" s="33" t="n">
        <f aca="false">IF(D155&lt;=0,0,IF(AND('Loan Details'!$B$10="Keep tenure, change EMI",OR(C155&lt;&gt;C154,H154&gt;0)),ROUND(PMT(C155/12,MAX(1,'Loan Details'!$B$8-A155+1),-D155),0),J154))</f>
        <v>26035</v>
      </c>
    </row>
    <row r="156" customFormat="false" ht="15" hidden="false" customHeight="true" outlineLevel="0" collapsed="false">
      <c r="A156" s="24" t="n">
        <f aca="false">152</f>
        <v>152</v>
      </c>
      <c r="B156" s="32" t="n">
        <f aca="false">EDATE('Loan Details'!$B$9,151)</f>
        <v>50744</v>
      </c>
      <c r="C156" s="25" t="n">
        <f aca="false">LOOKUP(A156,'Loan Details'!$J$6:$J$14,'Loan Details'!$K$6:$K$14)</f>
        <v>0.0825</v>
      </c>
      <c r="D156" s="33" t="n">
        <f aca="false">I155</f>
        <v>493179</v>
      </c>
      <c r="E156" s="33" t="n">
        <f aca="false">IF(D156&lt;=0,0,MIN(J156,D156+F156))</f>
        <v>26035</v>
      </c>
      <c r="F156" s="33" t="n">
        <f aca="false">IF(D156&lt;=0,0,ROUND(D156*C156/12,0))</f>
        <v>3391</v>
      </c>
      <c r="G156" s="33" t="n">
        <f aca="false">E156-F156</f>
        <v>22644</v>
      </c>
      <c r="H156" s="33" t="n">
        <f aca="false">IF(D156&lt;=0,0,MIN(SUMIF('Loan Details'!$G$6:$G$20,A156,'Loan Details'!$H$6:$H$20),D156-G156))</f>
        <v>0</v>
      </c>
      <c r="I156" s="33" t="n">
        <f aca="false">MAX(0,D156-G156-H156)</f>
        <v>470535</v>
      </c>
      <c r="J156" s="33" t="n">
        <f aca="false">IF(D156&lt;=0,0,IF(AND('Loan Details'!$B$10="Keep tenure, change EMI",OR(C156&lt;&gt;C155,H155&gt;0)),ROUND(PMT(C156/12,MAX(1,'Loan Details'!$B$8-A156+1),-D156),0),J155))</f>
        <v>26035</v>
      </c>
    </row>
    <row r="157" customFormat="false" ht="15" hidden="false" customHeight="true" outlineLevel="0" collapsed="false">
      <c r="A157" s="24" t="n">
        <f aca="false">153</f>
        <v>153</v>
      </c>
      <c r="B157" s="32" t="n">
        <f aca="false">EDATE('Loan Details'!$B$9,152)</f>
        <v>50775</v>
      </c>
      <c r="C157" s="25" t="n">
        <f aca="false">LOOKUP(A157,'Loan Details'!$J$6:$J$14,'Loan Details'!$K$6:$K$14)</f>
        <v>0.0825</v>
      </c>
      <c r="D157" s="33" t="n">
        <f aca="false">I156</f>
        <v>470535</v>
      </c>
      <c r="E157" s="33" t="n">
        <f aca="false">IF(D157&lt;=0,0,MIN(J157,D157+F157))</f>
        <v>26035</v>
      </c>
      <c r="F157" s="33" t="n">
        <f aca="false">IF(D157&lt;=0,0,ROUND(D157*C157/12,0))</f>
        <v>3235</v>
      </c>
      <c r="G157" s="33" t="n">
        <f aca="false">E157-F157</f>
        <v>22800</v>
      </c>
      <c r="H157" s="33" t="n">
        <f aca="false">IF(D157&lt;=0,0,MIN(SUMIF('Loan Details'!$G$6:$G$20,A157,'Loan Details'!$H$6:$H$20),D157-G157))</f>
        <v>0</v>
      </c>
      <c r="I157" s="33" t="n">
        <f aca="false">MAX(0,D157-G157-H157)</f>
        <v>447735</v>
      </c>
      <c r="J157" s="33" t="n">
        <f aca="false">IF(D157&lt;=0,0,IF(AND('Loan Details'!$B$10="Keep tenure, change EMI",OR(C157&lt;&gt;C156,H156&gt;0)),ROUND(PMT(C157/12,MAX(1,'Loan Details'!$B$8-A157+1),-D157),0),J156))</f>
        <v>26035</v>
      </c>
    </row>
    <row r="158" customFormat="false" ht="15" hidden="false" customHeight="true" outlineLevel="0" collapsed="false">
      <c r="A158" s="24" t="n">
        <f aca="false">154</f>
        <v>154</v>
      </c>
      <c r="B158" s="32" t="n">
        <f aca="false">EDATE('Loan Details'!$B$9,153)</f>
        <v>50806</v>
      </c>
      <c r="C158" s="25" t="n">
        <f aca="false">LOOKUP(A158,'Loan Details'!$J$6:$J$14,'Loan Details'!$K$6:$K$14)</f>
        <v>0.0825</v>
      </c>
      <c r="D158" s="33" t="n">
        <f aca="false">I157</f>
        <v>447735</v>
      </c>
      <c r="E158" s="33" t="n">
        <f aca="false">IF(D158&lt;=0,0,MIN(J158,D158+F158))</f>
        <v>26035</v>
      </c>
      <c r="F158" s="33" t="n">
        <f aca="false">IF(D158&lt;=0,0,ROUND(D158*C158/12,0))</f>
        <v>3078</v>
      </c>
      <c r="G158" s="33" t="n">
        <f aca="false">E158-F158</f>
        <v>22957</v>
      </c>
      <c r="H158" s="33" t="n">
        <f aca="false">IF(D158&lt;=0,0,MIN(SUMIF('Loan Details'!$G$6:$G$20,A158,'Loan Details'!$H$6:$H$20),D158-G158))</f>
        <v>0</v>
      </c>
      <c r="I158" s="33" t="n">
        <f aca="false">MAX(0,D158-G158-H158)</f>
        <v>424778</v>
      </c>
      <c r="J158" s="33" t="n">
        <f aca="false">IF(D158&lt;=0,0,IF(AND('Loan Details'!$B$10="Keep tenure, change EMI",OR(C158&lt;&gt;C157,H157&gt;0)),ROUND(PMT(C158/12,MAX(1,'Loan Details'!$B$8-A158+1),-D158),0),J157))</f>
        <v>26035</v>
      </c>
    </row>
    <row r="159" customFormat="false" ht="15" hidden="false" customHeight="true" outlineLevel="0" collapsed="false">
      <c r="A159" s="24" t="n">
        <f aca="false">155</f>
        <v>155</v>
      </c>
      <c r="B159" s="32" t="n">
        <f aca="false">EDATE('Loan Details'!$B$9,154)</f>
        <v>50834</v>
      </c>
      <c r="C159" s="25" t="n">
        <f aca="false">LOOKUP(A159,'Loan Details'!$J$6:$J$14,'Loan Details'!$K$6:$K$14)</f>
        <v>0.0825</v>
      </c>
      <c r="D159" s="33" t="n">
        <f aca="false">I158</f>
        <v>424778</v>
      </c>
      <c r="E159" s="33" t="n">
        <f aca="false">IF(D159&lt;=0,0,MIN(J159,D159+F159))</f>
        <v>26035</v>
      </c>
      <c r="F159" s="33" t="n">
        <f aca="false">IF(D159&lt;=0,0,ROUND(D159*C159/12,0))</f>
        <v>2920</v>
      </c>
      <c r="G159" s="33" t="n">
        <f aca="false">E159-F159</f>
        <v>23115</v>
      </c>
      <c r="H159" s="33" t="n">
        <f aca="false">IF(D159&lt;=0,0,MIN(SUMIF('Loan Details'!$G$6:$G$20,A159,'Loan Details'!$H$6:$H$20),D159-G159))</f>
        <v>0</v>
      </c>
      <c r="I159" s="33" t="n">
        <f aca="false">MAX(0,D159-G159-H159)</f>
        <v>401663</v>
      </c>
      <c r="J159" s="33" t="n">
        <f aca="false">IF(D159&lt;=0,0,IF(AND('Loan Details'!$B$10="Keep tenure, change EMI",OR(C159&lt;&gt;C158,H158&gt;0)),ROUND(PMT(C159/12,MAX(1,'Loan Details'!$B$8-A159+1),-D159),0),J158))</f>
        <v>26035</v>
      </c>
    </row>
    <row r="160" customFormat="false" ht="15" hidden="false" customHeight="true" outlineLevel="0" collapsed="false">
      <c r="A160" s="24" t="n">
        <f aca="false">156</f>
        <v>156</v>
      </c>
      <c r="B160" s="32" t="n">
        <f aca="false">EDATE('Loan Details'!$B$9,155)</f>
        <v>50865</v>
      </c>
      <c r="C160" s="25" t="n">
        <f aca="false">LOOKUP(A160,'Loan Details'!$J$6:$J$14,'Loan Details'!$K$6:$K$14)</f>
        <v>0.0825</v>
      </c>
      <c r="D160" s="33" t="n">
        <f aca="false">I159</f>
        <v>401663</v>
      </c>
      <c r="E160" s="33" t="n">
        <f aca="false">IF(D160&lt;=0,0,MIN(J160,D160+F160))</f>
        <v>26035</v>
      </c>
      <c r="F160" s="33" t="n">
        <f aca="false">IF(D160&lt;=0,0,ROUND(D160*C160/12,0))</f>
        <v>2761</v>
      </c>
      <c r="G160" s="33" t="n">
        <f aca="false">E160-F160</f>
        <v>23274</v>
      </c>
      <c r="H160" s="33" t="n">
        <f aca="false">IF(D160&lt;=0,0,MIN(SUMIF('Loan Details'!$G$6:$G$20,A160,'Loan Details'!$H$6:$H$20),D160-G160))</f>
        <v>0</v>
      </c>
      <c r="I160" s="33" t="n">
        <f aca="false">MAX(0,D160-G160-H160)</f>
        <v>378389</v>
      </c>
      <c r="J160" s="33" t="n">
        <f aca="false">IF(D160&lt;=0,0,IF(AND('Loan Details'!$B$10="Keep tenure, change EMI",OR(C160&lt;&gt;C159,H159&gt;0)),ROUND(PMT(C160/12,MAX(1,'Loan Details'!$B$8-A160+1),-D160),0),J159))</f>
        <v>26035</v>
      </c>
    </row>
    <row r="161" customFormat="false" ht="15" hidden="false" customHeight="true" outlineLevel="0" collapsed="false">
      <c r="A161" s="24" t="n">
        <f aca="false">157</f>
        <v>157</v>
      </c>
      <c r="B161" s="32" t="n">
        <f aca="false">EDATE('Loan Details'!$B$9,156)</f>
        <v>50895</v>
      </c>
      <c r="C161" s="25" t="n">
        <f aca="false">LOOKUP(A161,'Loan Details'!$J$6:$J$14,'Loan Details'!$K$6:$K$14)</f>
        <v>0.0825</v>
      </c>
      <c r="D161" s="33" t="n">
        <f aca="false">I160</f>
        <v>378389</v>
      </c>
      <c r="E161" s="33" t="n">
        <f aca="false">IF(D161&lt;=0,0,MIN(J161,D161+F161))</f>
        <v>26035</v>
      </c>
      <c r="F161" s="33" t="n">
        <f aca="false">IF(D161&lt;=0,0,ROUND(D161*C161/12,0))</f>
        <v>2601</v>
      </c>
      <c r="G161" s="33" t="n">
        <f aca="false">E161-F161</f>
        <v>23434</v>
      </c>
      <c r="H161" s="33" t="n">
        <f aca="false">IF(D161&lt;=0,0,MIN(SUMIF('Loan Details'!$G$6:$G$20,A161,'Loan Details'!$H$6:$H$20),D161-G161))</f>
        <v>0</v>
      </c>
      <c r="I161" s="33" t="n">
        <f aca="false">MAX(0,D161-G161-H161)</f>
        <v>354955</v>
      </c>
      <c r="J161" s="33" t="n">
        <f aca="false">IF(D161&lt;=0,0,IF(AND('Loan Details'!$B$10="Keep tenure, change EMI",OR(C161&lt;&gt;C160,H160&gt;0)),ROUND(PMT(C161/12,MAX(1,'Loan Details'!$B$8-A161+1),-D161),0),J160))</f>
        <v>26035</v>
      </c>
    </row>
    <row r="162" customFormat="false" ht="15" hidden="false" customHeight="true" outlineLevel="0" collapsed="false">
      <c r="A162" s="24" t="n">
        <f aca="false">158</f>
        <v>158</v>
      </c>
      <c r="B162" s="32" t="n">
        <f aca="false">EDATE('Loan Details'!$B$9,157)</f>
        <v>50926</v>
      </c>
      <c r="C162" s="25" t="n">
        <f aca="false">LOOKUP(A162,'Loan Details'!$J$6:$J$14,'Loan Details'!$K$6:$K$14)</f>
        <v>0.0825</v>
      </c>
      <c r="D162" s="33" t="n">
        <f aca="false">I161</f>
        <v>354955</v>
      </c>
      <c r="E162" s="33" t="n">
        <f aca="false">IF(D162&lt;=0,0,MIN(J162,D162+F162))</f>
        <v>26035</v>
      </c>
      <c r="F162" s="33" t="n">
        <f aca="false">IF(D162&lt;=0,0,ROUND(D162*C162/12,0))</f>
        <v>2440</v>
      </c>
      <c r="G162" s="33" t="n">
        <f aca="false">E162-F162</f>
        <v>23595</v>
      </c>
      <c r="H162" s="33" t="n">
        <f aca="false">IF(D162&lt;=0,0,MIN(SUMIF('Loan Details'!$G$6:$G$20,A162,'Loan Details'!$H$6:$H$20),D162-G162))</f>
        <v>0</v>
      </c>
      <c r="I162" s="33" t="n">
        <f aca="false">MAX(0,D162-G162-H162)</f>
        <v>331360</v>
      </c>
      <c r="J162" s="33" t="n">
        <f aca="false">IF(D162&lt;=0,0,IF(AND('Loan Details'!$B$10="Keep tenure, change EMI",OR(C162&lt;&gt;C161,H161&gt;0)),ROUND(PMT(C162/12,MAX(1,'Loan Details'!$B$8-A162+1),-D162),0),J161))</f>
        <v>26035</v>
      </c>
    </row>
    <row r="163" customFormat="false" ht="15" hidden="false" customHeight="true" outlineLevel="0" collapsed="false">
      <c r="A163" s="24" t="n">
        <f aca="false">159</f>
        <v>159</v>
      </c>
      <c r="B163" s="32" t="n">
        <f aca="false">EDATE('Loan Details'!$B$9,158)</f>
        <v>50956</v>
      </c>
      <c r="C163" s="25" t="n">
        <f aca="false">LOOKUP(A163,'Loan Details'!$J$6:$J$14,'Loan Details'!$K$6:$K$14)</f>
        <v>0.0825</v>
      </c>
      <c r="D163" s="33" t="n">
        <f aca="false">I162</f>
        <v>331360</v>
      </c>
      <c r="E163" s="33" t="n">
        <f aca="false">IF(D163&lt;=0,0,MIN(J163,D163+F163))</f>
        <v>26035</v>
      </c>
      <c r="F163" s="33" t="n">
        <f aca="false">IF(D163&lt;=0,0,ROUND(D163*C163/12,0))</f>
        <v>2278</v>
      </c>
      <c r="G163" s="33" t="n">
        <f aca="false">E163-F163</f>
        <v>23757</v>
      </c>
      <c r="H163" s="33" t="n">
        <f aca="false">IF(D163&lt;=0,0,MIN(SUMIF('Loan Details'!$G$6:$G$20,A163,'Loan Details'!$H$6:$H$20),D163-G163))</f>
        <v>0</v>
      </c>
      <c r="I163" s="33" t="n">
        <f aca="false">MAX(0,D163-G163-H163)</f>
        <v>307603</v>
      </c>
      <c r="J163" s="33" t="n">
        <f aca="false">IF(D163&lt;=0,0,IF(AND('Loan Details'!$B$10="Keep tenure, change EMI",OR(C163&lt;&gt;C162,H162&gt;0)),ROUND(PMT(C163/12,MAX(1,'Loan Details'!$B$8-A163+1),-D163),0),J162))</f>
        <v>26035</v>
      </c>
    </row>
    <row r="164" customFormat="false" ht="15" hidden="false" customHeight="true" outlineLevel="0" collapsed="false">
      <c r="A164" s="24" t="n">
        <f aca="false">160</f>
        <v>160</v>
      </c>
      <c r="B164" s="32" t="n">
        <f aca="false">EDATE('Loan Details'!$B$9,159)</f>
        <v>50987</v>
      </c>
      <c r="C164" s="25" t="n">
        <f aca="false">LOOKUP(A164,'Loan Details'!$J$6:$J$14,'Loan Details'!$K$6:$K$14)</f>
        <v>0.0825</v>
      </c>
      <c r="D164" s="33" t="n">
        <f aca="false">I163</f>
        <v>307603</v>
      </c>
      <c r="E164" s="33" t="n">
        <f aca="false">IF(D164&lt;=0,0,MIN(J164,D164+F164))</f>
        <v>26035</v>
      </c>
      <c r="F164" s="33" t="n">
        <f aca="false">IF(D164&lt;=0,0,ROUND(D164*C164/12,0))</f>
        <v>2115</v>
      </c>
      <c r="G164" s="33" t="n">
        <f aca="false">E164-F164</f>
        <v>23920</v>
      </c>
      <c r="H164" s="33" t="n">
        <f aca="false">IF(D164&lt;=0,0,MIN(SUMIF('Loan Details'!$G$6:$G$20,A164,'Loan Details'!$H$6:$H$20),D164-G164))</f>
        <v>0</v>
      </c>
      <c r="I164" s="33" t="n">
        <f aca="false">MAX(0,D164-G164-H164)</f>
        <v>283683</v>
      </c>
      <c r="J164" s="33" t="n">
        <f aca="false">IF(D164&lt;=0,0,IF(AND('Loan Details'!$B$10="Keep tenure, change EMI",OR(C164&lt;&gt;C163,H163&gt;0)),ROUND(PMT(C164/12,MAX(1,'Loan Details'!$B$8-A164+1),-D164),0),J163))</f>
        <v>26035</v>
      </c>
    </row>
    <row r="165" customFormat="false" ht="15" hidden="false" customHeight="true" outlineLevel="0" collapsed="false">
      <c r="A165" s="24" t="n">
        <f aca="false">161</f>
        <v>161</v>
      </c>
      <c r="B165" s="32" t="n">
        <f aca="false">EDATE('Loan Details'!$B$9,160)</f>
        <v>51018</v>
      </c>
      <c r="C165" s="25" t="n">
        <f aca="false">LOOKUP(A165,'Loan Details'!$J$6:$J$14,'Loan Details'!$K$6:$K$14)</f>
        <v>0.0825</v>
      </c>
      <c r="D165" s="33" t="n">
        <f aca="false">I164</f>
        <v>283683</v>
      </c>
      <c r="E165" s="33" t="n">
        <f aca="false">IF(D165&lt;=0,0,MIN(J165,D165+F165))</f>
        <v>26035</v>
      </c>
      <c r="F165" s="33" t="n">
        <f aca="false">IF(D165&lt;=0,0,ROUND(D165*C165/12,0))</f>
        <v>1950</v>
      </c>
      <c r="G165" s="33" t="n">
        <f aca="false">E165-F165</f>
        <v>24085</v>
      </c>
      <c r="H165" s="33" t="n">
        <f aca="false">IF(D165&lt;=0,0,MIN(SUMIF('Loan Details'!$G$6:$G$20,A165,'Loan Details'!$H$6:$H$20),D165-G165))</f>
        <v>0</v>
      </c>
      <c r="I165" s="33" t="n">
        <f aca="false">MAX(0,D165-G165-H165)</f>
        <v>259598</v>
      </c>
      <c r="J165" s="33" t="n">
        <f aca="false">IF(D165&lt;=0,0,IF(AND('Loan Details'!$B$10="Keep tenure, change EMI",OR(C165&lt;&gt;C164,H164&gt;0)),ROUND(PMT(C165/12,MAX(1,'Loan Details'!$B$8-A165+1),-D165),0),J164))</f>
        <v>26035</v>
      </c>
    </row>
    <row r="166" customFormat="false" ht="15" hidden="false" customHeight="true" outlineLevel="0" collapsed="false">
      <c r="A166" s="24" t="n">
        <f aca="false">162</f>
        <v>162</v>
      </c>
      <c r="B166" s="32" t="n">
        <f aca="false">EDATE('Loan Details'!$B$9,161)</f>
        <v>51048</v>
      </c>
      <c r="C166" s="25" t="n">
        <f aca="false">LOOKUP(A166,'Loan Details'!$J$6:$J$14,'Loan Details'!$K$6:$K$14)</f>
        <v>0.0825</v>
      </c>
      <c r="D166" s="33" t="n">
        <f aca="false">I165</f>
        <v>259598</v>
      </c>
      <c r="E166" s="33" t="n">
        <f aca="false">IF(D166&lt;=0,0,MIN(J166,D166+F166))</f>
        <v>26035</v>
      </c>
      <c r="F166" s="33" t="n">
        <f aca="false">IF(D166&lt;=0,0,ROUND(D166*C166/12,0))</f>
        <v>1785</v>
      </c>
      <c r="G166" s="33" t="n">
        <f aca="false">E166-F166</f>
        <v>24250</v>
      </c>
      <c r="H166" s="33" t="n">
        <f aca="false">IF(D166&lt;=0,0,MIN(SUMIF('Loan Details'!$G$6:$G$20,A166,'Loan Details'!$H$6:$H$20),D166-G166))</f>
        <v>0</v>
      </c>
      <c r="I166" s="33" t="n">
        <f aca="false">MAX(0,D166-G166-H166)</f>
        <v>235348</v>
      </c>
      <c r="J166" s="33" t="n">
        <f aca="false">IF(D166&lt;=0,0,IF(AND('Loan Details'!$B$10="Keep tenure, change EMI",OR(C166&lt;&gt;C165,H165&gt;0)),ROUND(PMT(C166/12,MAX(1,'Loan Details'!$B$8-A166+1),-D166),0),J165))</f>
        <v>26035</v>
      </c>
    </row>
    <row r="167" customFormat="false" ht="15" hidden="false" customHeight="true" outlineLevel="0" collapsed="false">
      <c r="A167" s="24" t="n">
        <f aca="false">163</f>
        <v>163</v>
      </c>
      <c r="B167" s="32" t="n">
        <f aca="false">EDATE('Loan Details'!$B$9,162)</f>
        <v>51079</v>
      </c>
      <c r="C167" s="25" t="n">
        <f aca="false">LOOKUP(A167,'Loan Details'!$J$6:$J$14,'Loan Details'!$K$6:$K$14)</f>
        <v>0.0825</v>
      </c>
      <c r="D167" s="33" t="n">
        <f aca="false">I166</f>
        <v>235348</v>
      </c>
      <c r="E167" s="33" t="n">
        <f aca="false">IF(D167&lt;=0,0,MIN(J167,D167+F167))</f>
        <v>26035</v>
      </c>
      <c r="F167" s="33" t="n">
        <f aca="false">IF(D167&lt;=0,0,ROUND(D167*C167/12,0))</f>
        <v>1618</v>
      </c>
      <c r="G167" s="33" t="n">
        <f aca="false">E167-F167</f>
        <v>24417</v>
      </c>
      <c r="H167" s="33" t="n">
        <f aca="false">IF(D167&lt;=0,0,MIN(SUMIF('Loan Details'!$G$6:$G$20,A167,'Loan Details'!$H$6:$H$20),D167-G167))</f>
        <v>0</v>
      </c>
      <c r="I167" s="33" t="n">
        <f aca="false">MAX(0,D167-G167-H167)</f>
        <v>210931</v>
      </c>
      <c r="J167" s="33" t="n">
        <f aca="false">IF(D167&lt;=0,0,IF(AND('Loan Details'!$B$10="Keep tenure, change EMI",OR(C167&lt;&gt;C166,H166&gt;0)),ROUND(PMT(C167/12,MAX(1,'Loan Details'!$B$8-A167+1),-D167),0),J166))</f>
        <v>26035</v>
      </c>
    </row>
    <row r="168" customFormat="false" ht="15" hidden="false" customHeight="true" outlineLevel="0" collapsed="false">
      <c r="A168" s="24" t="n">
        <f aca="false">164</f>
        <v>164</v>
      </c>
      <c r="B168" s="32" t="n">
        <f aca="false">EDATE('Loan Details'!$B$9,163)</f>
        <v>51109</v>
      </c>
      <c r="C168" s="25" t="n">
        <f aca="false">LOOKUP(A168,'Loan Details'!$J$6:$J$14,'Loan Details'!$K$6:$K$14)</f>
        <v>0.0825</v>
      </c>
      <c r="D168" s="33" t="n">
        <f aca="false">I167</f>
        <v>210931</v>
      </c>
      <c r="E168" s="33" t="n">
        <f aca="false">IF(D168&lt;=0,0,MIN(J168,D168+F168))</f>
        <v>26035</v>
      </c>
      <c r="F168" s="33" t="n">
        <f aca="false">IF(D168&lt;=0,0,ROUND(D168*C168/12,0))</f>
        <v>1450</v>
      </c>
      <c r="G168" s="33" t="n">
        <f aca="false">E168-F168</f>
        <v>24585</v>
      </c>
      <c r="H168" s="33" t="n">
        <f aca="false">IF(D168&lt;=0,0,MIN(SUMIF('Loan Details'!$G$6:$G$20,A168,'Loan Details'!$H$6:$H$20),D168-G168))</f>
        <v>0</v>
      </c>
      <c r="I168" s="33" t="n">
        <f aca="false">MAX(0,D168-G168-H168)</f>
        <v>186346</v>
      </c>
      <c r="J168" s="33" t="n">
        <f aca="false">IF(D168&lt;=0,0,IF(AND('Loan Details'!$B$10="Keep tenure, change EMI",OR(C168&lt;&gt;C167,H167&gt;0)),ROUND(PMT(C168/12,MAX(1,'Loan Details'!$B$8-A168+1),-D168),0),J167))</f>
        <v>26035</v>
      </c>
    </row>
    <row r="169" customFormat="false" ht="15" hidden="false" customHeight="true" outlineLevel="0" collapsed="false">
      <c r="A169" s="24" t="n">
        <f aca="false">165</f>
        <v>165</v>
      </c>
      <c r="B169" s="32" t="n">
        <f aca="false">EDATE('Loan Details'!$B$9,164)</f>
        <v>51140</v>
      </c>
      <c r="C169" s="25" t="n">
        <f aca="false">LOOKUP(A169,'Loan Details'!$J$6:$J$14,'Loan Details'!$K$6:$K$14)</f>
        <v>0.0825</v>
      </c>
      <c r="D169" s="33" t="n">
        <f aca="false">I168</f>
        <v>186346</v>
      </c>
      <c r="E169" s="33" t="n">
        <f aca="false">IF(D169&lt;=0,0,MIN(J169,D169+F169))</f>
        <v>26035</v>
      </c>
      <c r="F169" s="33" t="n">
        <f aca="false">IF(D169&lt;=0,0,ROUND(D169*C169/12,0))</f>
        <v>1281</v>
      </c>
      <c r="G169" s="33" t="n">
        <f aca="false">E169-F169</f>
        <v>24754</v>
      </c>
      <c r="H169" s="33" t="n">
        <f aca="false">IF(D169&lt;=0,0,MIN(SUMIF('Loan Details'!$G$6:$G$20,A169,'Loan Details'!$H$6:$H$20),D169-G169))</f>
        <v>0</v>
      </c>
      <c r="I169" s="33" t="n">
        <f aca="false">MAX(0,D169-G169-H169)</f>
        <v>161592</v>
      </c>
      <c r="J169" s="33" t="n">
        <f aca="false">IF(D169&lt;=0,0,IF(AND('Loan Details'!$B$10="Keep tenure, change EMI",OR(C169&lt;&gt;C168,H168&gt;0)),ROUND(PMT(C169/12,MAX(1,'Loan Details'!$B$8-A169+1),-D169),0),J168))</f>
        <v>26035</v>
      </c>
    </row>
    <row r="170" customFormat="false" ht="15" hidden="false" customHeight="true" outlineLevel="0" collapsed="false">
      <c r="A170" s="24" t="n">
        <f aca="false">166</f>
        <v>166</v>
      </c>
      <c r="B170" s="32" t="n">
        <f aca="false">EDATE('Loan Details'!$B$9,165)</f>
        <v>51171</v>
      </c>
      <c r="C170" s="25" t="n">
        <f aca="false">LOOKUP(A170,'Loan Details'!$J$6:$J$14,'Loan Details'!$K$6:$K$14)</f>
        <v>0.0825</v>
      </c>
      <c r="D170" s="33" t="n">
        <f aca="false">I169</f>
        <v>161592</v>
      </c>
      <c r="E170" s="33" t="n">
        <f aca="false">IF(D170&lt;=0,0,MIN(J170,D170+F170))</f>
        <v>26035</v>
      </c>
      <c r="F170" s="33" t="n">
        <f aca="false">IF(D170&lt;=0,0,ROUND(D170*C170/12,0))</f>
        <v>1111</v>
      </c>
      <c r="G170" s="33" t="n">
        <f aca="false">E170-F170</f>
        <v>24924</v>
      </c>
      <c r="H170" s="33" t="n">
        <f aca="false">IF(D170&lt;=0,0,MIN(SUMIF('Loan Details'!$G$6:$G$20,A170,'Loan Details'!$H$6:$H$20),D170-G170))</f>
        <v>0</v>
      </c>
      <c r="I170" s="33" t="n">
        <f aca="false">MAX(0,D170-G170-H170)</f>
        <v>136668</v>
      </c>
      <c r="J170" s="33" t="n">
        <f aca="false">IF(D170&lt;=0,0,IF(AND('Loan Details'!$B$10="Keep tenure, change EMI",OR(C170&lt;&gt;C169,H169&gt;0)),ROUND(PMT(C170/12,MAX(1,'Loan Details'!$B$8-A170+1),-D170),0),J169))</f>
        <v>26035</v>
      </c>
    </row>
    <row r="171" customFormat="false" ht="15" hidden="false" customHeight="true" outlineLevel="0" collapsed="false">
      <c r="A171" s="24" t="n">
        <f aca="false">167</f>
        <v>167</v>
      </c>
      <c r="B171" s="32" t="n">
        <f aca="false">EDATE('Loan Details'!$B$9,166)</f>
        <v>51200</v>
      </c>
      <c r="C171" s="25" t="n">
        <f aca="false">LOOKUP(A171,'Loan Details'!$J$6:$J$14,'Loan Details'!$K$6:$K$14)</f>
        <v>0.0825</v>
      </c>
      <c r="D171" s="33" t="n">
        <f aca="false">I170</f>
        <v>136668</v>
      </c>
      <c r="E171" s="33" t="n">
        <f aca="false">IF(D171&lt;=0,0,MIN(J171,D171+F171))</f>
        <v>26035</v>
      </c>
      <c r="F171" s="33" t="n">
        <f aca="false">IF(D171&lt;=0,0,ROUND(D171*C171/12,0))</f>
        <v>940</v>
      </c>
      <c r="G171" s="33" t="n">
        <f aca="false">E171-F171</f>
        <v>25095</v>
      </c>
      <c r="H171" s="33" t="n">
        <f aca="false">IF(D171&lt;=0,0,MIN(SUMIF('Loan Details'!$G$6:$G$20,A171,'Loan Details'!$H$6:$H$20),D171-G171))</f>
        <v>0</v>
      </c>
      <c r="I171" s="33" t="n">
        <f aca="false">MAX(0,D171-G171-H171)</f>
        <v>111573</v>
      </c>
      <c r="J171" s="33" t="n">
        <f aca="false">IF(D171&lt;=0,0,IF(AND('Loan Details'!$B$10="Keep tenure, change EMI",OR(C171&lt;&gt;C170,H170&gt;0)),ROUND(PMT(C171/12,MAX(1,'Loan Details'!$B$8-A171+1),-D171),0),J170))</f>
        <v>26035</v>
      </c>
    </row>
    <row r="172" customFormat="false" ht="15" hidden="false" customHeight="true" outlineLevel="0" collapsed="false">
      <c r="A172" s="24" t="n">
        <f aca="false">168</f>
        <v>168</v>
      </c>
      <c r="B172" s="32" t="n">
        <f aca="false">EDATE('Loan Details'!$B$9,167)</f>
        <v>51231</v>
      </c>
      <c r="C172" s="25" t="n">
        <f aca="false">LOOKUP(A172,'Loan Details'!$J$6:$J$14,'Loan Details'!$K$6:$K$14)</f>
        <v>0.0825</v>
      </c>
      <c r="D172" s="33" t="n">
        <f aca="false">I171</f>
        <v>111573</v>
      </c>
      <c r="E172" s="33" t="n">
        <f aca="false">IF(D172&lt;=0,0,MIN(J172,D172+F172))</f>
        <v>26035</v>
      </c>
      <c r="F172" s="33" t="n">
        <f aca="false">IF(D172&lt;=0,0,ROUND(D172*C172/12,0))</f>
        <v>767</v>
      </c>
      <c r="G172" s="33" t="n">
        <f aca="false">E172-F172</f>
        <v>25268</v>
      </c>
      <c r="H172" s="33" t="n">
        <f aca="false">IF(D172&lt;=0,0,MIN(SUMIF('Loan Details'!$G$6:$G$20,A172,'Loan Details'!$H$6:$H$20),D172-G172))</f>
        <v>0</v>
      </c>
      <c r="I172" s="33" t="n">
        <f aca="false">MAX(0,D172-G172-H172)</f>
        <v>86305</v>
      </c>
      <c r="J172" s="33" t="n">
        <f aca="false">IF(D172&lt;=0,0,IF(AND('Loan Details'!$B$10="Keep tenure, change EMI",OR(C172&lt;&gt;C171,H171&gt;0)),ROUND(PMT(C172/12,MAX(1,'Loan Details'!$B$8-A172+1),-D172),0),J171))</f>
        <v>26035</v>
      </c>
    </row>
    <row r="173" customFormat="false" ht="15" hidden="false" customHeight="true" outlineLevel="0" collapsed="false">
      <c r="A173" s="24" t="n">
        <f aca="false">169</f>
        <v>169</v>
      </c>
      <c r="B173" s="32" t="n">
        <f aca="false">EDATE('Loan Details'!$B$9,168)</f>
        <v>51261</v>
      </c>
      <c r="C173" s="25" t="n">
        <f aca="false">LOOKUP(A173,'Loan Details'!$J$6:$J$14,'Loan Details'!$K$6:$K$14)</f>
        <v>0.0825</v>
      </c>
      <c r="D173" s="33" t="n">
        <f aca="false">I172</f>
        <v>86305</v>
      </c>
      <c r="E173" s="33" t="n">
        <f aca="false">IF(D173&lt;=0,0,MIN(J173,D173+F173))</f>
        <v>26035</v>
      </c>
      <c r="F173" s="33" t="n">
        <f aca="false">IF(D173&lt;=0,0,ROUND(D173*C173/12,0))</f>
        <v>593</v>
      </c>
      <c r="G173" s="33" t="n">
        <f aca="false">E173-F173</f>
        <v>25442</v>
      </c>
      <c r="H173" s="33" t="n">
        <f aca="false">IF(D173&lt;=0,0,MIN(SUMIF('Loan Details'!$G$6:$G$20,A173,'Loan Details'!$H$6:$H$20),D173-G173))</f>
        <v>0</v>
      </c>
      <c r="I173" s="33" t="n">
        <f aca="false">MAX(0,D173-G173-H173)</f>
        <v>60863</v>
      </c>
      <c r="J173" s="33" t="n">
        <f aca="false">IF(D173&lt;=0,0,IF(AND('Loan Details'!$B$10="Keep tenure, change EMI",OR(C173&lt;&gt;C172,H172&gt;0)),ROUND(PMT(C173/12,MAX(1,'Loan Details'!$B$8-A173+1),-D173),0),J172))</f>
        <v>26035</v>
      </c>
    </row>
    <row r="174" customFormat="false" ht="15" hidden="false" customHeight="true" outlineLevel="0" collapsed="false">
      <c r="A174" s="24" t="n">
        <f aca="false">170</f>
        <v>170</v>
      </c>
      <c r="B174" s="32" t="n">
        <f aca="false">EDATE('Loan Details'!$B$9,169)</f>
        <v>51292</v>
      </c>
      <c r="C174" s="25" t="n">
        <f aca="false">LOOKUP(A174,'Loan Details'!$J$6:$J$14,'Loan Details'!$K$6:$K$14)</f>
        <v>0.0825</v>
      </c>
      <c r="D174" s="33" t="n">
        <f aca="false">I173</f>
        <v>60863</v>
      </c>
      <c r="E174" s="33" t="n">
        <f aca="false">IF(D174&lt;=0,0,MIN(J174,D174+F174))</f>
        <v>26035</v>
      </c>
      <c r="F174" s="33" t="n">
        <f aca="false">IF(D174&lt;=0,0,ROUND(D174*C174/12,0))</f>
        <v>418</v>
      </c>
      <c r="G174" s="33" t="n">
        <f aca="false">E174-F174</f>
        <v>25617</v>
      </c>
      <c r="H174" s="33" t="n">
        <f aca="false">IF(D174&lt;=0,0,MIN(SUMIF('Loan Details'!$G$6:$G$20,A174,'Loan Details'!$H$6:$H$20),D174-G174))</f>
        <v>0</v>
      </c>
      <c r="I174" s="33" t="n">
        <f aca="false">MAX(0,D174-G174-H174)</f>
        <v>35246</v>
      </c>
      <c r="J174" s="33" t="n">
        <f aca="false">IF(D174&lt;=0,0,IF(AND('Loan Details'!$B$10="Keep tenure, change EMI",OR(C174&lt;&gt;C173,H173&gt;0)),ROUND(PMT(C174/12,MAX(1,'Loan Details'!$B$8-A174+1),-D174),0),J173))</f>
        <v>26035</v>
      </c>
    </row>
    <row r="175" customFormat="false" ht="15" hidden="false" customHeight="true" outlineLevel="0" collapsed="false">
      <c r="A175" s="24" t="n">
        <f aca="false">171</f>
        <v>171</v>
      </c>
      <c r="B175" s="32" t="n">
        <f aca="false">EDATE('Loan Details'!$B$9,170)</f>
        <v>51322</v>
      </c>
      <c r="C175" s="25" t="n">
        <f aca="false">LOOKUP(A175,'Loan Details'!$J$6:$J$14,'Loan Details'!$K$6:$K$14)</f>
        <v>0.0825</v>
      </c>
      <c r="D175" s="33" t="n">
        <f aca="false">I174</f>
        <v>35246</v>
      </c>
      <c r="E175" s="33" t="n">
        <f aca="false">IF(D175&lt;=0,0,MIN(J175,D175+F175))</f>
        <v>26035</v>
      </c>
      <c r="F175" s="33" t="n">
        <f aca="false">IF(D175&lt;=0,0,ROUND(D175*C175/12,0))</f>
        <v>242</v>
      </c>
      <c r="G175" s="33" t="n">
        <f aca="false">E175-F175</f>
        <v>25793</v>
      </c>
      <c r="H175" s="33" t="n">
        <f aca="false">IF(D175&lt;=0,0,MIN(SUMIF('Loan Details'!$G$6:$G$20,A175,'Loan Details'!$H$6:$H$20),D175-G175))</f>
        <v>0</v>
      </c>
      <c r="I175" s="33" t="n">
        <f aca="false">MAX(0,D175-G175-H175)</f>
        <v>9453</v>
      </c>
      <c r="J175" s="33" t="n">
        <f aca="false">IF(D175&lt;=0,0,IF(AND('Loan Details'!$B$10="Keep tenure, change EMI",OR(C175&lt;&gt;C174,H174&gt;0)),ROUND(PMT(C175/12,MAX(1,'Loan Details'!$B$8-A175+1),-D175),0),J174))</f>
        <v>26035</v>
      </c>
    </row>
    <row r="176" customFormat="false" ht="15" hidden="false" customHeight="true" outlineLevel="0" collapsed="false">
      <c r="A176" s="24" t="n">
        <f aca="false">172</f>
        <v>172</v>
      </c>
      <c r="B176" s="32" t="n">
        <f aca="false">EDATE('Loan Details'!$B$9,171)</f>
        <v>51353</v>
      </c>
      <c r="C176" s="25" t="n">
        <f aca="false">LOOKUP(A176,'Loan Details'!$J$6:$J$14,'Loan Details'!$K$6:$K$14)</f>
        <v>0.0825</v>
      </c>
      <c r="D176" s="33" t="n">
        <f aca="false">I175</f>
        <v>9453</v>
      </c>
      <c r="E176" s="33" t="n">
        <f aca="false">IF(D176&lt;=0,0,MIN(J176,D176+F176))</f>
        <v>9518</v>
      </c>
      <c r="F176" s="33" t="n">
        <f aca="false">IF(D176&lt;=0,0,ROUND(D176*C176/12,0))</f>
        <v>65</v>
      </c>
      <c r="G176" s="33" t="n">
        <f aca="false">E176-F176</f>
        <v>9453</v>
      </c>
      <c r="H176" s="33" t="n">
        <f aca="false">IF(D176&lt;=0,0,MIN(SUMIF('Loan Details'!$G$6:$G$20,A176,'Loan Details'!$H$6:$H$20),D176-G176))</f>
        <v>0</v>
      </c>
      <c r="I176" s="33" t="n">
        <f aca="false">MAX(0,D176-G176-H176)</f>
        <v>0</v>
      </c>
      <c r="J176" s="33" t="n">
        <f aca="false">IF(D176&lt;=0,0,IF(AND('Loan Details'!$B$10="Keep tenure, change EMI",OR(C176&lt;&gt;C175,H175&gt;0)),ROUND(PMT(C176/12,MAX(1,'Loan Details'!$B$8-A176+1),-D176),0),J175))</f>
        <v>26035</v>
      </c>
    </row>
    <row r="177" customFormat="false" ht="15" hidden="false" customHeight="true" outlineLevel="0" collapsed="false">
      <c r="A177" s="24" t="n">
        <f aca="false">173</f>
        <v>173</v>
      </c>
      <c r="B177" s="32" t="n">
        <f aca="false">EDATE('Loan Details'!$B$9,172)</f>
        <v>51384</v>
      </c>
      <c r="C177" s="25" t="n">
        <f aca="false">LOOKUP(A177,'Loan Details'!$J$6:$J$14,'Loan Details'!$K$6:$K$14)</f>
        <v>0.0825</v>
      </c>
      <c r="D177" s="33" t="n">
        <f aca="false">I176</f>
        <v>0</v>
      </c>
      <c r="E177" s="33" t="n">
        <f aca="false">IF(D177&lt;=0,0,MIN(J177,D177+F177))</f>
        <v>0</v>
      </c>
      <c r="F177" s="33" t="n">
        <f aca="false">IF(D177&lt;=0,0,ROUND(D177*C177/12,0))</f>
        <v>0</v>
      </c>
      <c r="G177" s="33" t="n">
        <f aca="false">E177-F177</f>
        <v>0</v>
      </c>
      <c r="H177" s="33" t="n">
        <f aca="false">IF(D177&lt;=0,0,MIN(SUMIF('Loan Details'!$G$6:$G$20,A177,'Loan Details'!$H$6:$H$20),D177-G177))</f>
        <v>0</v>
      </c>
      <c r="I177" s="33" t="n">
        <f aca="false">MAX(0,D177-G177-H177)</f>
        <v>0</v>
      </c>
      <c r="J177" s="33" t="n">
        <f aca="false">IF(D177&lt;=0,0,IF(AND('Loan Details'!$B$10="Keep tenure, change EMI",OR(C177&lt;&gt;C176,H176&gt;0)),ROUND(PMT(C177/12,MAX(1,'Loan Details'!$B$8-A177+1),-D177),0),J176))</f>
        <v>0</v>
      </c>
    </row>
    <row r="178" customFormat="false" ht="15" hidden="false" customHeight="true" outlineLevel="0" collapsed="false">
      <c r="A178" s="24" t="n">
        <f aca="false">174</f>
        <v>174</v>
      </c>
      <c r="B178" s="32" t="n">
        <f aca="false">EDATE('Loan Details'!$B$9,173)</f>
        <v>51414</v>
      </c>
      <c r="C178" s="25" t="n">
        <f aca="false">LOOKUP(A178,'Loan Details'!$J$6:$J$14,'Loan Details'!$K$6:$K$14)</f>
        <v>0.0825</v>
      </c>
      <c r="D178" s="33" t="n">
        <f aca="false">I177</f>
        <v>0</v>
      </c>
      <c r="E178" s="33" t="n">
        <f aca="false">IF(D178&lt;=0,0,MIN(J178,D178+F178))</f>
        <v>0</v>
      </c>
      <c r="F178" s="33" t="n">
        <f aca="false">IF(D178&lt;=0,0,ROUND(D178*C178/12,0))</f>
        <v>0</v>
      </c>
      <c r="G178" s="33" t="n">
        <f aca="false">E178-F178</f>
        <v>0</v>
      </c>
      <c r="H178" s="33" t="n">
        <f aca="false">IF(D178&lt;=0,0,MIN(SUMIF('Loan Details'!$G$6:$G$20,A178,'Loan Details'!$H$6:$H$20),D178-G178))</f>
        <v>0</v>
      </c>
      <c r="I178" s="33" t="n">
        <f aca="false">MAX(0,D178-G178-H178)</f>
        <v>0</v>
      </c>
      <c r="J178" s="33" t="n">
        <f aca="false">IF(D178&lt;=0,0,IF(AND('Loan Details'!$B$10="Keep tenure, change EMI",OR(C178&lt;&gt;C177,H177&gt;0)),ROUND(PMT(C178/12,MAX(1,'Loan Details'!$B$8-A178+1),-D178),0),J177))</f>
        <v>0</v>
      </c>
    </row>
    <row r="179" customFormat="false" ht="15" hidden="false" customHeight="true" outlineLevel="0" collapsed="false">
      <c r="A179" s="24" t="n">
        <f aca="false">175</f>
        <v>175</v>
      </c>
      <c r="B179" s="32" t="n">
        <f aca="false">EDATE('Loan Details'!$B$9,174)</f>
        <v>51445</v>
      </c>
      <c r="C179" s="25" t="n">
        <f aca="false">LOOKUP(A179,'Loan Details'!$J$6:$J$14,'Loan Details'!$K$6:$K$14)</f>
        <v>0.0825</v>
      </c>
      <c r="D179" s="33" t="n">
        <f aca="false">I178</f>
        <v>0</v>
      </c>
      <c r="E179" s="33" t="n">
        <f aca="false">IF(D179&lt;=0,0,MIN(J179,D179+F179))</f>
        <v>0</v>
      </c>
      <c r="F179" s="33" t="n">
        <f aca="false">IF(D179&lt;=0,0,ROUND(D179*C179/12,0))</f>
        <v>0</v>
      </c>
      <c r="G179" s="33" t="n">
        <f aca="false">E179-F179</f>
        <v>0</v>
      </c>
      <c r="H179" s="33" t="n">
        <f aca="false">IF(D179&lt;=0,0,MIN(SUMIF('Loan Details'!$G$6:$G$20,A179,'Loan Details'!$H$6:$H$20),D179-G179))</f>
        <v>0</v>
      </c>
      <c r="I179" s="33" t="n">
        <f aca="false">MAX(0,D179-G179-H179)</f>
        <v>0</v>
      </c>
      <c r="J179" s="33" t="n">
        <f aca="false">IF(D179&lt;=0,0,IF(AND('Loan Details'!$B$10="Keep tenure, change EMI",OR(C179&lt;&gt;C178,H178&gt;0)),ROUND(PMT(C179/12,MAX(1,'Loan Details'!$B$8-A179+1),-D179),0),J178))</f>
        <v>0</v>
      </c>
    </row>
    <row r="180" customFormat="false" ht="15" hidden="false" customHeight="true" outlineLevel="0" collapsed="false">
      <c r="A180" s="24" t="n">
        <f aca="false">176</f>
        <v>176</v>
      </c>
      <c r="B180" s="32" t="n">
        <f aca="false">EDATE('Loan Details'!$B$9,175)</f>
        <v>51475</v>
      </c>
      <c r="C180" s="25" t="n">
        <f aca="false">LOOKUP(A180,'Loan Details'!$J$6:$J$14,'Loan Details'!$K$6:$K$14)</f>
        <v>0.0825</v>
      </c>
      <c r="D180" s="33" t="n">
        <f aca="false">I179</f>
        <v>0</v>
      </c>
      <c r="E180" s="33" t="n">
        <f aca="false">IF(D180&lt;=0,0,MIN(J180,D180+F180))</f>
        <v>0</v>
      </c>
      <c r="F180" s="33" t="n">
        <f aca="false">IF(D180&lt;=0,0,ROUND(D180*C180/12,0))</f>
        <v>0</v>
      </c>
      <c r="G180" s="33" t="n">
        <f aca="false">E180-F180</f>
        <v>0</v>
      </c>
      <c r="H180" s="33" t="n">
        <f aca="false">IF(D180&lt;=0,0,MIN(SUMIF('Loan Details'!$G$6:$G$20,A180,'Loan Details'!$H$6:$H$20),D180-G180))</f>
        <v>0</v>
      </c>
      <c r="I180" s="33" t="n">
        <f aca="false">MAX(0,D180-G180-H180)</f>
        <v>0</v>
      </c>
      <c r="J180" s="33" t="n">
        <f aca="false">IF(D180&lt;=0,0,IF(AND('Loan Details'!$B$10="Keep tenure, change EMI",OR(C180&lt;&gt;C179,H179&gt;0)),ROUND(PMT(C180/12,MAX(1,'Loan Details'!$B$8-A180+1),-D180),0),J179))</f>
        <v>0</v>
      </c>
    </row>
    <row r="181" customFormat="false" ht="15" hidden="false" customHeight="true" outlineLevel="0" collapsed="false">
      <c r="A181" s="24" t="n">
        <f aca="false">177</f>
        <v>177</v>
      </c>
      <c r="B181" s="32" t="n">
        <f aca="false">EDATE('Loan Details'!$B$9,176)</f>
        <v>51506</v>
      </c>
      <c r="C181" s="25" t="n">
        <f aca="false">LOOKUP(A181,'Loan Details'!$J$6:$J$14,'Loan Details'!$K$6:$K$14)</f>
        <v>0.0825</v>
      </c>
      <c r="D181" s="33" t="n">
        <f aca="false">I180</f>
        <v>0</v>
      </c>
      <c r="E181" s="33" t="n">
        <f aca="false">IF(D181&lt;=0,0,MIN(J181,D181+F181))</f>
        <v>0</v>
      </c>
      <c r="F181" s="33" t="n">
        <f aca="false">IF(D181&lt;=0,0,ROUND(D181*C181/12,0))</f>
        <v>0</v>
      </c>
      <c r="G181" s="33" t="n">
        <f aca="false">E181-F181</f>
        <v>0</v>
      </c>
      <c r="H181" s="33" t="n">
        <f aca="false">IF(D181&lt;=0,0,MIN(SUMIF('Loan Details'!$G$6:$G$20,A181,'Loan Details'!$H$6:$H$20),D181-G181))</f>
        <v>0</v>
      </c>
      <c r="I181" s="33" t="n">
        <f aca="false">MAX(0,D181-G181-H181)</f>
        <v>0</v>
      </c>
      <c r="J181" s="33" t="n">
        <f aca="false">IF(D181&lt;=0,0,IF(AND('Loan Details'!$B$10="Keep tenure, change EMI",OR(C181&lt;&gt;C180,H180&gt;0)),ROUND(PMT(C181/12,MAX(1,'Loan Details'!$B$8-A181+1),-D181),0),J180))</f>
        <v>0</v>
      </c>
    </row>
    <row r="182" customFormat="false" ht="15" hidden="false" customHeight="true" outlineLevel="0" collapsed="false">
      <c r="A182" s="24" t="n">
        <f aca="false">178</f>
        <v>178</v>
      </c>
      <c r="B182" s="32" t="n">
        <f aca="false">EDATE('Loan Details'!$B$9,177)</f>
        <v>51537</v>
      </c>
      <c r="C182" s="25" t="n">
        <f aca="false">LOOKUP(A182,'Loan Details'!$J$6:$J$14,'Loan Details'!$K$6:$K$14)</f>
        <v>0.0825</v>
      </c>
      <c r="D182" s="33" t="n">
        <f aca="false">I181</f>
        <v>0</v>
      </c>
      <c r="E182" s="33" t="n">
        <f aca="false">IF(D182&lt;=0,0,MIN(J182,D182+F182))</f>
        <v>0</v>
      </c>
      <c r="F182" s="33" t="n">
        <f aca="false">IF(D182&lt;=0,0,ROUND(D182*C182/12,0))</f>
        <v>0</v>
      </c>
      <c r="G182" s="33" t="n">
        <f aca="false">E182-F182</f>
        <v>0</v>
      </c>
      <c r="H182" s="33" t="n">
        <f aca="false">IF(D182&lt;=0,0,MIN(SUMIF('Loan Details'!$G$6:$G$20,A182,'Loan Details'!$H$6:$H$20),D182-G182))</f>
        <v>0</v>
      </c>
      <c r="I182" s="33" t="n">
        <f aca="false">MAX(0,D182-G182-H182)</f>
        <v>0</v>
      </c>
      <c r="J182" s="33" t="n">
        <f aca="false">IF(D182&lt;=0,0,IF(AND('Loan Details'!$B$10="Keep tenure, change EMI",OR(C182&lt;&gt;C181,H181&gt;0)),ROUND(PMT(C182/12,MAX(1,'Loan Details'!$B$8-A182+1),-D182),0),J181))</f>
        <v>0</v>
      </c>
    </row>
    <row r="183" customFormat="false" ht="15" hidden="false" customHeight="true" outlineLevel="0" collapsed="false">
      <c r="A183" s="24" t="n">
        <f aca="false">179</f>
        <v>179</v>
      </c>
      <c r="B183" s="32" t="n">
        <f aca="false">EDATE('Loan Details'!$B$9,178)</f>
        <v>51565</v>
      </c>
      <c r="C183" s="25" t="n">
        <f aca="false">LOOKUP(A183,'Loan Details'!$J$6:$J$14,'Loan Details'!$K$6:$K$14)</f>
        <v>0.0825</v>
      </c>
      <c r="D183" s="33" t="n">
        <f aca="false">I182</f>
        <v>0</v>
      </c>
      <c r="E183" s="33" t="n">
        <f aca="false">IF(D183&lt;=0,0,MIN(J183,D183+F183))</f>
        <v>0</v>
      </c>
      <c r="F183" s="33" t="n">
        <f aca="false">IF(D183&lt;=0,0,ROUND(D183*C183/12,0))</f>
        <v>0</v>
      </c>
      <c r="G183" s="33" t="n">
        <f aca="false">E183-F183</f>
        <v>0</v>
      </c>
      <c r="H183" s="33" t="n">
        <f aca="false">IF(D183&lt;=0,0,MIN(SUMIF('Loan Details'!$G$6:$G$20,A183,'Loan Details'!$H$6:$H$20),D183-G183))</f>
        <v>0</v>
      </c>
      <c r="I183" s="33" t="n">
        <f aca="false">MAX(0,D183-G183-H183)</f>
        <v>0</v>
      </c>
      <c r="J183" s="33" t="n">
        <f aca="false">IF(D183&lt;=0,0,IF(AND('Loan Details'!$B$10="Keep tenure, change EMI",OR(C183&lt;&gt;C182,H182&gt;0)),ROUND(PMT(C183/12,MAX(1,'Loan Details'!$B$8-A183+1),-D183),0),J182))</f>
        <v>0</v>
      </c>
    </row>
    <row r="184" customFormat="false" ht="15" hidden="false" customHeight="true" outlineLevel="0" collapsed="false">
      <c r="A184" s="24" t="n">
        <f aca="false">180</f>
        <v>180</v>
      </c>
      <c r="B184" s="32" t="n">
        <f aca="false">EDATE('Loan Details'!$B$9,179)</f>
        <v>51596</v>
      </c>
      <c r="C184" s="25" t="n">
        <f aca="false">LOOKUP(A184,'Loan Details'!$J$6:$J$14,'Loan Details'!$K$6:$K$14)</f>
        <v>0.0825</v>
      </c>
      <c r="D184" s="33" t="n">
        <f aca="false">I183</f>
        <v>0</v>
      </c>
      <c r="E184" s="33" t="n">
        <f aca="false">IF(D184&lt;=0,0,MIN(J184,D184+F184))</f>
        <v>0</v>
      </c>
      <c r="F184" s="33" t="n">
        <f aca="false">IF(D184&lt;=0,0,ROUND(D184*C184/12,0))</f>
        <v>0</v>
      </c>
      <c r="G184" s="33" t="n">
        <f aca="false">E184-F184</f>
        <v>0</v>
      </c>
      <c r="H184" s="33" t="n">
        <f aca="false">IF(D184&lt;=0,0,MIN(SUMIF('Loan Details'!$G$6:$G$20,A184,'Loan Details'!$H$6:$H$20),D184-G184))</f>
        <v>0</v>
      </c>
      <c r="I184" s="33" t="n">
        <f aca="false">MAX(0,D184-G184-H184)</f>
        <v>0</v>
      </c>
      <c r="J184" s="33" t="n">
        <f aca="false">IF(D184&lt;=0,0,IF(AND('Loan Details'!$B$10="Keep tenure, change EMI",OR(C184&lt;&gt;C183,H183&gt;0)),ROUND(PMT(C184/12,MAX(1,'Loan Details'!$B$8-A184+1),-D184),0),J183))</f>
        <v>0</v>
      </c>
    </row>
    <row r="185" customFormat="false" ht="15" hidden="false" customHeight="true" outlineLevel="0" collapsed="false">
      <c r="A185" s="24" t="n">
        <f aca="false">181</f>
        <v>181</v>
      </c>
      <c r="B185" s="32" t="n">
        <f aca="false">EDATE('Loan Details'!$B$9,180)</f>
        <v>51626</v>
      </c>
      <c r="C185" s="25" t="n">
        <f aca="false">LOOKUP(A185,'Loan Details'!$J$6:$J$14,'Loan Details'!$K$6:$K$14)</f>
        <v>0.0825</v>
      </c>
      <c r="D185" s="33" t="n">
        <f aca="false">I184</f>
        <v>0</v>
      </c>
      <c r="E185" s="33" t="n">
        <f aca="false">IF(D185&lt;=0,0,MIN(J185,D185+F185))</f>
        <v>0</v>
      </c>
      <c r="F185" s="33" t="n">
        <f aca="false">IF(D185&lt;=0,0,ROUND(D185*C185/12,0))</f>
        <v>0</v>
      </c>
      <c r="G185" s="33" t="n">
        <f aca="false">E185-F185</f>
        <v>0</v>
      </c>
      <c r="H185" s="33" t="n">
        <f aca="false">IF(D185&lt;=0,0,MIN(SUMIF('Loan Details'!$G$6:$G$20,A185,'Loan Details'!$H$6:$H$20),D185-G185))</f>
        <v>0</v>
      </c>
      <c r="I185" s="33" t="n">
        <f aca="false">MAX(0,D185-G185-H185)</f>
        <v>0</v>
      </c>
      <c r="J185" s="33" t="n">
        <f aca="false">IF(D185&lt;=0,0,IF(AND('Loan Details'!$B$10="Keep tenure, change EMI",OR(C185&lt;&gt;C184,H184&gt;0)),ROUND(PMT(C185/12,MAX(1,'Loan Details'!$B$8-A185+1),-D185),0),J184))</f>
        <v>0</v>
      </c>
    </row>
    <row r="186" customFormat="false" ht="15" hidden="false" customHeight="true" outlineLevel="0" collapsed="false">
      <c r="A186" s="24" t="n">
        <f aca="false">182</f>
        <v>182</v>
      </c>
      <c r="B186" s="32" t="n">
        <f aca="false">EDATE('Loan Details'!$B$9,181)</f>
        <v>51657</v>
      </c>
      <c r="C186" s="25" t="n">
        <f aca="false">LOOKUP(A186,'Loan Details'!$J$6:$J$14,'Loan Details'!$K$6:$K$14)</f>
        <v>0.0825</v>
      </c>
      <c r="D186" s="33" t="n">
        <f aca="false">I185</f>
        <v>0</v>
      </c>
      <c r="E186" s="33" t="n">
        <f aca="false">IF(D186&lt;=0,0,MIN(J186,D186+F186))</f>
        <v>0</v>
      </c>
      <c r="F186" s="33" t="n">
        <f aca="false">IF(D186&lt;=0,0,ROUND(D186*C186/12,0))</f>
        <v>0</v>
      </c>
      <c r="G186" s="33" t="n">
        <f aca="false">E186-F186</f>
        <v>0</v>
      </c>
      <c r="H186" s="33" t="n">
        <f aca="false">IF(D186&lt;=0,0,MIN(SUMIF('Loan Details'!$G$6:$G$20,A186,'Loan Details'!$H$6:$H$20),D186-G186))</f>
        <v>0</v>
      </c>
      <c r="I186" s="33" t="n">
        <f aca="false">MAX(0,D186-G186-H186)</f>
        <v>0</v>
      </c>
      <c r="J186" s="33" t="n">
        <f aca="false">IF(D186&lt;=0,0,IF(AND('Loan Details'!$B$10="Keep tenure, change EMI",OR(C186&lt;&gt;C185,H185&gt;0)),ROUND(PMT(C186/12,MAX(1,'Loan Details'!$B$8-A186+1),-D186),0),J185))</f>
        <v>0</v>
      </c>
    </row>
    <row r="187" customFormat="false" ht="15" hidden="false" customHeight="true" outlineLevel="0" collapsed="false">
      <c r="A187" s="24" t="n">
        <f aca="false">183</f>
        <v>183</v>
      </c>
      <c r="B187" s="32" t="n">
        <f aca="false">EDATE('Loan Details'!$B$9,182)</f>
        <v>51687</v>
      </c>
      <c r="C187" s="25" t="n">
        <f aca="false">LOOKUP(A187,'Loan Details'!$J$6:$J$14,'Loan Details'!$K$6:$K$14)</f>
        <v>0.0825</v>
      </c>
      <c r="D187" s="33" t="n">
        <f aca="false">I186</f>
        <v>0</v>
      </c>
      <c r="E187" s="33" t="n">
        <f aca="false">IF(D187&lt;=0,0,MIN(J187,D187+F187))</f>
        <v>0</v>
      </c>
      <c r="F187" s="33" t="n">
        <f aca="false">IF(D187&lt;=0,0,ROUND(D187*C187/12,0))</f>
        <v>0</v>
      </c>
      <c r="G187" s="33" t="n">
        <f aca="false">E187-F187</f>
        <v>0</v>
      </c>
      <c r="H187" s="33" t="n">
        <f aca="false">IF(D187&lt;=0,0,MIN(SUMIF('Loan Details'!$G$6:$G$20,A187,'Loan Details'!$H$6:$H$20),D187-G187))</f>
        <v>0</v>
      </c>
      <c r="I187" s="33" t="n">
        <f aca="false">MAX(0,D187-G187-H187)</f>
        <v>0</v>
      </c>
      <c r="J187" s="33" t="n">
        <f aca="false">IF(D187&lt;=0,0,IF(AND('Loan Details'!$B$10="Keep tenure, change EMI",OR(C187&lt;&gt;C186,H186&gt;0)),ROUND(PMT(C187/12,MAX(1,'Loan Details'!$B$8-A187+1),-D187),0),J186))</f>
        <v>0</v>
      </c>
    </row>
    <row r="188" customFormat="false" ht="15" hidden="false" customHeight="true" outlineLevel="0" collapsed="false">
      <c r="A188" s="24" t="n">
        <f aca="false">184</f>
        <v>184</v>
      </c>
      <c r="B188" s="32" t="n">
        <f aca="false">EDATE('Loan Details'!$B$9,183)</f>
        <v>51718</v>
      </c>
      <c r="C188" s="25" t="n">
        <f aca="false">LOOKUP(A188,'Loan Details'!$J$6:$J$14,'Loan Details'!$K$6:$K$14)</f>
        <v>0.0825</v>
      </c>
      <c r="D188" s="33" t="n">
        <f aca="false">I187</f>
        <v>0</v>
      </c>
      <c r="E188" s="33" t="n">
        <f aca="false">IF(D188&lt;=0,0,MIN(J188,D188+F188))</f>
        <v>0</v>
      </c>
      <c r="F188" s="33" t="n">
        <f aca="false">IF(D188&lt;=0,0,ROUND(D188*C188/12,0))</f>
        <v>0</v>
      </c>
      <c r="G188" s="33" t="n">
        <f aca="false">E188-F188</f>
        <v>0</v>
      </c>
      <c r="H188" s="33" t="n">
        <f aca="false">IF(D188&lt;=0,0,MIN(SUMIF('Loan Details'!$G$6:$G$20,A188,'Loan Details'!$H$6:$H$20),D188-G188))</f>
        <v>0</v>
      </c>
      <c r="I188" s="33" t="n">
        <f aca="false">MAX(0,D188-G188-H188)</f>
        <v>0</v>
      </c>
      <c r="J188" s="33" t="n">
        <f aca="false">IF(D188&lt;=0,0,IF(AND('Loan Details'!$B$10="Keep tenure, change EMI",OR(C188&lt;&gt;C187,H187&gt;0)),ROUND(PMT(C188/12,MAX(1,'Loan Details'!$B$8-A188+1),-D188),0),J187))</f>
        <v>0</v>
      </c>
    </row>
    <row r="189" customFormat="false" ht="15" hidden="false" customHeight="true" outlineLevel="0" collapsed="false">
      <c r="A189" s="24" t="n">
        <f aca="false">185</f>
        <v>185</v>
      </c>
      <c r="B189" s="32" t="n">
        <f aca="false">EDATE('Loan Details'!$B$9,184)</f>
        <v>51749</v>
      </c>
      <c r="C189" s="25" t="n">
        <f aca="false">LOOKUP(A189,'Loan Details'!$J$6:$J$14,'Loan Details'!$K$6:$K$14)</f>
        <v>0.0825</v>
      </c>
      <c r="D189" s="33" t="n">
        <f aca="false">I188</f>
        <v>0</v>
      </c>
      <c r="E189" s="33" t="n">
        <f aca="false">IF(D189&lt;=0,0,MIN(J189,D189+F189))</f>
        <v>0</v>
      </c>
      <c r="F189" s="33" t="n">
        <f aca="false">IF(D189&lt;=0,0,ROUND(D189*C189/12,0))</f>
        <v>0</v>
      </c>
      <c r="G189" s="33" t="n">
        <f aca="false">E189-F189</f>
        <v>0</v>
      </c>
      <c r="H189" s="33" t="n">
        <f aca="false">IF(D189&lt;=0,0,MIN(SUMIF('Loan Details'!$G$6:$G$20,A189,'Loan Details'!$H$6:$H$20),D189-G189))</f>
        <v>0</v>
      </c>
      <c r="I189" s="33" t="n">
        <f aca="false">MAX(0,D189-G189-H189)</f>
        <v>0</v>
      </c>
      <c r="J189" s="33" t="n">
        <f aca="false">IF(D189&lt;=0,0,IF(AND('Loan Details'!$B$10="Keep tenure, change EMI",OR(C189&lt;&gt;C188,H188&gt;0)),ROUND(PMT(C189/12,MAX(1,'Loan Details'!$B$8-A189+1),-D189),0),J188))</f>
        <v>0</v>
      </c>
    </row>
    <row r="190" customFormat="false" ht="15" hidden="false" customHeight="true" outlineLevel="0" collapsed="false">
      <c r="A190" s="24" t="n">
        <f aca="false">186</f>
        <v>186</v>
      </c>
      <c r="B190" s="32" t="n">
        <f aca="false">EDATE('Loan Details'!$B$9,185)</f>
        <v>51779</v>
      </c>
      <c r="C190" s="25" t="n">
        <f aca="false">LOOKUP(A190,'Loan Details'!$J$6:$J$14,'Loan Details'!$K$6:$K$14)</f>
        <v>0.0825</v>
      </c>
      <c r="D190" s="33" t="n">
        <f aca="false">I189</f>
        <v>0</v>
      </c>
      <c r="E190" s="33" t="n">
        <f aca="false">IF(D190&lt;=0,0,MIN(J190,D190+F190))</f>
        <v>0</v>
      </c>
      <c r="F190" s="33" t="n">
        <f aca="false">IF(D190&lt;=0,0,ROUND(D190*C190/12,0))</f>
        <v>0</v>
      </c>
      <c r="G190" s="33" t="n">
        <f aca="false">E190-F190</f>
        <v>0</v>
      </c>
      <c r="H190" s="33" t="n">
        <f aca="false">IF(D190&lt;=0,0,MIN(SUMIF('Loan Details'!$G$6:$G$20,A190,'Loan Details'!$H$6:$H$20),D190-G190))</f>
        <v>0</v>
      </c>
      <c r="I190" s="33" t="n">
        <f aca="false">MAX(0,D190-G190-H190)</f>
        <v>0</v>
      </c>
      <c r="J190" s="33" t="n">
        <f aca="false">IF(D190&lt;=0,0,IF(AND('Loan Details'!$B$10="Keep tenure, change EMI",OR(C190&lt;&gt;C189,H189&gt;0)),ROUND(PMT(C190/12,MAX(1,'Loan Details'!$B$8-A190+1),-D190),0),J189))</f>
        <v>0</v>
      </c>
    </row>
    <row r="191" customFormat="false" ht="15" hidden="false" customHeight="true" outlineLevel="0" collapsed="false">
      <c r="A191" s="24" t="n">
        <f aca="false">187</f>
        <v>187</v>
      </c>
      <c r="B191" s="32" t="n">
        <f aca="false">EDATE('Loan Details'!$B$9,186)</f>
        <v>51810</v>
      </c>
      <c r="C191" s="25" t="n">
        <f aca="false">LOOKUP(A191,'Loan Details'!$J$6:$J$14,'Loan Details'!$K$6:$K$14)</f>
        <v>0.0825</v>
      </c>
      <c r="D191" s="33" t="n">
        <f aca="false">I190</f>
        <v>0</v>
      </c>
      <c r="E191" s="33" t="n">
        <f aca="false">IF(D191&lt;=0,0,MIN(J191,D191+F191))</f>
        <v>0</v>
      </c>
      <c r="F191" s="33" t="n">
        <f aca="false">IF(D191&lt;=0,0,ROUND(D191*C191/12,0))</f>
        <v>0</v>
      </c>
      <c r="G191" s="33" t="n">
        <f aca="false">E191-F191</f>
        <v>0</v>
      </c>
      <c r="H191" s="33" t="n">
        <f aca="false">IF(D191&lt;=0,0,MIN(SUMIF('Loan Details'!$G$6:$G$20,A191,'Loan Details'!$H$6:$H$20),D191-G191))</f>
        <v>0</v>
      </c>
      <c r="I191" s="33" t="n">
        <f aca="false">MAX(0,D191-G191-H191)</f>
        <v>0</v>
      </c>
      <c r="J191" s="33" t="n">
        <f aca="false">IF(D191&lt;=0,0,IF(AND('Loan Details'!$B$10="Keep tenure, change EMI",OR(C191&lt;&gt;C190,H190&gt;0)),ROUND(PMT(C191/12,MAX(1,'Loan Details'!$B$8-A191+1),-D191),0),J190))</f>
        <v>0</v>
      </c>
    </row>
    <row r="192" customFormat="false" ht="15" hidden="false" customHeight="true" outlineLevel="0" collapsed="false">
      <c r="A192" s="24" t="n">
        <f aca="false">188</f>
        <v>188</v>
      </c>
      <c r="B192" s="32" t="n">
        <f aca="false">EDATE('Loan Details'!$B$9,187)</f>
        <v>51840</v>
      </c>
      <c r="C192" s="25" t="n">
        <f aca="false">LOOKUP(A192,'Loan Details'!$J$6:$J$14,'Loan Details'!$K$6:$K$14)</f>
        <v>0.0825</v>
      </c>
      <c r="D192" s="33" t="n">
        <f aca="false">I191</f>
        <v>0</v>
      </c>
      <c r="E192" s="33" t="n">
        <f aca="false">IF(D192&lt;=0,0,MIN(J192,D192+F192))</f>
        <v>0</v>
      </c>
      <c r="F192" s="33" t="n">
        <f aca="false">IF(D192&lt;=0,0,ROUND(D192*C192/12,0))</f>
        <v>0</v>
      </c>
      <c r="G192" s="33" t="n">
        <f aca="false">E192-F192</f>
        <v>0</v>
      </c>
      <c r="H192" s="33" t="n">
        <f aca="false">IF(D192&lt;=0,0,MIN(SUMIF('Loan Details'!$G$6:$G$20,A192,'Loan Details'!$H$6:$H$20),D192-G192))</f>
        <v>0</v>
      </c>
      <c r="I192" s="33" t="n">
        <f aca="false">MAX(0,D192-G192-H192)</f>
        <v>0</v>
      </c>
      <c r="J192" s="33" t="n">
        <f aca="false">IF(D192&lt;=0,0,IF(AND('Loan Details'!$B$10="Keep tenure, change EMI",OR(C192&lt;&gt;C191,H191&gt;0)),ROUND(PMT(C192/12,MAX(1,'Loan Details'!$B$8-A192+1),-D192),0),J191))</f>
        <v>0</v>
      </c>
    </row>
    <row r="193" customFormat="false" ht="15" hidden="false" customHeight="true" outlineLevel="0" collapsed="false">
      <c r="A193" s="24" t="n">
        <f aca="false">189</f>
        <v>189</v>
      </c>
      <c r="B193" s="32" t="n">
        <f aca="false">EDATE('Loan Details'!$B$9,188)</f>
        <v>51871</v>
      </c>
      <c r="C193" s="25" t="n">
        <f aca="false">LOOKUP(A193,'Loan Details'!$J$6:$J$14,'Loan Details'!$K$6:$K$14)</f>
        <v>0.0825</v>
      </c>
      <c r="D193" s="33" t="n">
        <f aca="false">I192</f>
        <v>0</v>
      </c>
      <c r="E193" s="33" t="n">
        <f aca="false">IF(D193&lt;=0,0,MIN(J193,D193+F193))</f>
        <v>0</v>
      </c>
      <c r="F193" s="33" t="n">
        <f aca="false">IF(D193&lt;=0,0,ROUND(D193*C193/12,0))</f>
        <v>0</v>
      </c>
      <c r="G193" s="33" t="n">
        <f aca="false">E193-F193</f>
        <v>0</v>
      </c>
      <c r="H193" s="33" t="n">
        <f aca="false">IF(D193&lt;=0,0,MIN(SUMIF('Loan Details'!$G$6:$G$20,A193,'Loan Details'!$H$6:$H$20),D193-G193))</f>
        <v>0</v>
      </c>
      <c r="I193" s="33" t="n">
        <f aca="false">MAX(0,D193-G193-H193)</f>
        <v>0</v>
      </c>
      <c r="J193" s="33" t="n">
        <f aca="false">IF(D193&lt;=0,0,IF(AND('Loan Details'!$B$10="Keep tenure, change EMI",OR(C193&lt;&gt;C192,H192&gt;0)),ROUND(PMT(C193/12,MAX(1,'Loan Details'!$B$8-A193+1),-D193),0),J192))</f>
        <v>0</v>
      </c>
    </row>
    <row r="194" customFormat="false" ht="15" hidden="false" customHeight="true" outlineLevel="0" collapsed="false">
      <c r="A194" s="24" t="n">
        <f aca="false">190</f>
        <v>190</v>
      </c>
      <c r="B194" s="32" t="n">
        <f aca="false">EDATE('Loan Details'!$B$9,189)</f>
        <v>51902</v>
      </c>
      <c r="C194" s="25" t="n">
        <f aca="false">LOOKUP(A194,'Loan Details'!$J$6:$J$14,'Loan Details'!$K$6:$K$14)</f>
        <v>0.0825</v>
      </c>
      <c r="D194" s="33" t="n">
        <f aca="false">I193</f>
        <v>0</v>
      </c>
      <c r="E194" s="33" t="n">
        <f aca="false">IF(D194&lt;=0,0,MIN(J194,D194+F194))</f>
        <v>0</v>
      </c>
      <c r="F194" s="33" t="n">
        <f aca="false">IF(D194&lt;=0,0,ROUND(D194*C194/12,0))</f>
        <v>0</v>
      </c>
      <c r="G194" s="33" t="n">
        <f aca="false">E194-F194</f>
        <v>0</v>
      </c>
      <c r="H194" s="33" t="n">
        <f aca="false">IF(D194&lt;=0,0,MIN(SUMIF('Loan Details'!$G$6:$G$20,A194,'Loan Details'!$H$6:$H$20),D194-G194))</f>
        <v>0</v>
      </c>
      <c r="I194" s="33" t="n">
        <f aca="false">MAX(0,D194-G194-H194)</f>
        <v>0</v>
      </c>
      <c r="J194" s="33" t="n">
        <f aca="false">IF(D194&lt;=0,0,IF(AND('Loan Details'!$B$10="Keep tenure, change EMI",OR(C194&lt;&gt;C193,H193&gt;0)),ROUND(PMT(C194/12,MAX(1,'Loan Details'!$B$8-A194+1),-D194),0),J193))</f>
        <v>0</v>
      </c>
    </row>
    <row r="195" customFormat="false" ht="15" hidden="false" customHeight="true" outlineLevel="0" collapsed="false">
      <c r="A195" s="24" t="n">
        <f aca="false">191</f>
        <v>191</v>
      </c>
      <c r="B195" s="32" t="n">
        <f aca="false">EDATE('Loan Details'!$B$9,190)</f>
        <v>51930</v>
      </c>
      <c r="C195" s="25" t="n">
        <f aca="false">LOOKUP(A195,'Loan Details'!$J$6:$J$14,'Loan Details'!$K$6:$K$14)</f>
        <v>0.0825</v>
      </c>
      <c r="D195" s="33" t="n">
        <f aca="false">I194</f>
        <v>0</v>
      </c>
      <c r="E195" s="33" t="n">
        <f aca="false">IF(D195&lt;=0,0,MIN(J195,D195+F195))</f>
        <v>0</v>
      </c>
      <c r="F195" s="33" t="n">
        <f aca="false">IF(D195&lt;=0,0,ROUND(D195*C195/12,0))</f>
        <v>0</v>
      </c>
      <c r="G195" s="33" t="n">
        <f aca="false">E195-F195</f>
        <v>0</v>
      </c>
      <c r="H195" s="33" t="n">
        <f aca="false">IF(D195&lt;=0,0,MIN(SUMIF('Loan Details'!$G$6:$G$20,A195,'Loan Details'!$H$6:$H$20),D195-G195))</f>
        <v>0</v>
      </c>
      <c r="I195" s="33" t="n">
        <f aca="false">MAX(0,D195-G195-H195)</f>
        <v>0</v>
      </c>
      <c r="J195" s="33" t="n">
        <f aca="false">IF(D195&lt;=0,0,IF(AND('Loan Details'!$B$10="Keep tenure, change EMI",OR(C195&lt;&gt;C194,H194&gt;0)),ROUND(PMT(C195/12,MAX(1,'Loan Details'!$B$8-A195+1),-D195),0),J194))</f>
        <v>0</v>
      </c>
    </row>
    <row r="196" customFormat="false" ht="15" hidden="false" customHeight="true" outlineLevel="0" collapsed="false">
      <c r="A196" s="24" t="n">
        <f aca="false">192</f>
        <v>192</v>
      </c>
      <c r="B196" s="32" t="n">
        <f aca="false">EDATE('Loan Details'!$B$9,191)</f>
        <v>51961</v>
      </c>
      <c r="C196" s="25" t="n">
        <f aca="false">LOOKUP(A196,'Loan Details'!$J$6:$J$14,'Loan Details'!$K$6:$K$14)</f>
        <v>0.0825</v>
      </c>
      <c r="D196" s="33" t="n">
        <f aca="false">I195</f>
        <v>0</v>
      </c>
      <c r="E196" s="33" t="n">
        <f aca="false">IF(D196&lt;=0,0,MIN(J196,D196+F196))</f>
        <v>0</v>
      </c>
      <c r="F196" s="33" t="n">
        <f aca="false">IF(D196&lt;=0,0,ROUND(D196*C196/12,0))</f>
        <v>0</v>
      </c>
      <c r="G196" s="33" t="n">
        <f aca="false">E196-F196</f>
        <v>0</v>
      </c>
      <c r="H196" s="33" t="n">
        <f aca="false">IF(D196&lt;=0,0,MIN(SUMIF('Loan Details'!$G$6:$G$20,A196,'Loan Details'!$H$6:$H$20),D196-G196))</f>
        <v>0</v>
      </c>
      <c r="I196" s="33" t="n">
        <f aca="false">MAX(0,D196-G196-H196)</f>
        <v>0</v>
      </c>
      <c r="J196" s="33" t="n">
        <f aca="false">IF(D196&lt;=0,0,IF(AND('Loan Details'!$B$10="Keep tenure, change EMI",OR(C196&lt;&gt;C195,H195&gt;0)),ROUND(PMT(C196/12,MAX(1,'Loan Details'!$B$8-A196+1),-D196),0),J195))</f>
        <v>0</v>
      </c>
    </row>
    <row r="197" customFormat="false" ht="15" hidden="false" customHeight="true" outlineLevel="0" collapsed="false">
      <c r="A197" s="24" t="n">
        <f aca="false">193</f>
        <v>193</v>
      </c>
      <c r="B197" s="32" t="n">
        <f aca="false">EDATE('Loan Details'!$B$9,192)</f>
        <v>51991</v>
      </c>
      <c r="C197" s="25" t="n">
        <f aca="false">LOOKUP(A197,'Loan Details'!$J$6:$J$14,'Loan Details'!$K$6:$K$14)</f>
        <v>0.0825</v>
      </c>
      <c r="D197" s="33" t="n">
        <f aca="false">I196</f>
        <v>0</v>
      </c>
      <c r="E197" s="33" t="n">
        <f aca="false">IF(D197&lt;=0,0,MIN(J197,D197+F197))</f>
        <v>0</v>
      </c>
      <c r="F197" s="33" t="n">
        <f aca="false">IF(D197&lt;=0,0,ROUND(D197*C197/12,0))</f>
        <v>0</v>
      </c>
      <c r="G197" s="33" t="n">
        <f aca="false">E197-F197</f>
        <v>0</v>
      </c>
      <c r="H197" s="33" t="n">
        <f aca="false">IF(D197&lt;=0,0,MIN(SUMIF('Loan Details'!$G$6:$G$20,A197,'Loan Details'!$H$6:$H$20),D197-G197))</f>
        <v>0</v>
      </c>
      <c r="I197" s="33" t="n">
        <f aca="false">MAX(0,D197-G197-H197)</f>
        <v>0</v>
      </c>
      <c r="J197" s="33" t="n">
        <f aca="false">IF(D197&lt;=0,0,IF(AND('Loan Details'!$B$10="Keep tenure, change EMI",OR(C197&lt;&gt;C196,H196&gt;0)),ROUND(PMT(C197/12,MAX(1,'Loan Details'!$B$8-A197+1),-D197),0),J196))</f>
        <v>0</v>
      </c>
    </row>
    <row r="198" customFormat="false" ht="15" hidden="false" customHeight="true" outlineLevel="0" collapsed="false">
      <c r="A198" s="24" t="n">
        <f aca="false">194</f>
        <v>194</v>
      </c>
      <c r="B198" s="32" t="n">
        <f aca="false">EDATE('Loan Details'!$B$9,193)</f>
        <v>52022</v>
      </c>
      <c r="C198" s="25" t="n">
        <f aca="false">LOOKUP(A198,'Loan Details'!$J$6:$J$14,'Loan Details'!$K$6:$K$14)</f>
        <v>0.0825</v>
      </c>
      <c r="D198" s="33" t="n">
        <f aca="false">I197</f>
        <v>0</v>
      </c>
      <c r="E198" s="33" t="n">
        <f aca="false">IF(D198&lt;=0,0,MIN(J198,D198+F198))</f>
        <v>0</v>
      </c>
      <c r="F198" s="33" t="n">
        <f aca="false">IF(D198&lt;=0,0,ROUND(D198*C198/12,0))</f>
        <v>0</v>
      </c>
      <c r="G198" s="33" t="n">
        <f aca="false">E198-F198</f>
        <v>0</v>
      </c>
      <c r="H198" s="33" t="n">
        <f aca="false">IF(D198&lt;=0,0,MIN(SUMIF('Loan Details'!$G$6:$G$20,A198,'Loan Details'!$H$6:$H$20),D198-G198))</f>
        <v>0</v>
      </c>
      <c r="I198" s="33" t="n">
        <f aca="false">MAX(0,D198-G198-H198)</f>
        <v>0</v>
      </c>
      <c r="J198" s="33" t="n">
        <f aca="false">IF(D198&lt;=0,0,IF(AND('Loan Details'!$B$10="Keep tenure, change EMI",OR(C198&lt;&gt;C197,H197&gt;0)),ROUND(PMT(C198/12,MAX(1,'Loan Details'!$B$8-A198+1),-D198),0),J197))</f>
        <v>0</v>
      </c>
    </row>
    <row r="199" customFormat="false" ht="15" hidden="false" customHeight="true" outlineLevel="0" collapsed="false">
      <c r="A199" s="24" t="n">
        <f aca="false">195</f>
        <v>195</v>
      </c>
      <c r="B199" s="32" t="n">
        <f aca="false">EDATE('Loan Details'!$B$9,194)</f>
        <v>52052</v>
      </c>
      <c r="C199" s="25" t="n">
        <f aca="false">LOOKUP(A199,'Loan Details'!$J$6:$J$14,'Loan Details'!$K$6:$K$14)</f>
        <v>0.0825</v>
      </c>
      <c r="D199" s="33" t="n">
        <f aca="false">I198</f>
        <v>0</v>
      </c>
      <c r="E199" s="33" t="n">
        <f aca="false">IF(D199&lt;=0,0,MIN(J199,D199+F199))</f>
        <v>0</v>
      </c>
      <c r="F199" s="33" t="n">
        <f aca="false">IF(D199&lt;=0,0,ROUND(D199*C199/12,0))</f>
        <v>0</v>
      </c>
      <c r="G199" s="33" t="n">
        <f aca="false">E199-F199</f>
        <v>0</v>
      </c>
      <c r="H199" s="33" t="n">
        <f aca="false">IF(D199&lt;=0,0,MIN(SUMIF('Loan Details'!$G$6:$G$20,A199,'Loan Details'!$H$6:$H$20),D199-G199))</f>
        <v>0</v>
      </c>
      <c r="I199" s="33" t="n">
        <f aca="false">MAX(0,D199-G199-H199)</f>
        <v>0</v>
      </c>
      <c r="J199" s="33" t="n">
        <f aca="false">IF(D199&lt;=0,0,IF(AND('Loan Details'!$B$10="Keep tenure, change EMI",OR(C199&lt;&gt;C198,H198&gt;0)),ROUND(PMT(C199/12,MAX(1,'Loan Details'!$B$8-A199+1),-D199),0),J198))</f>
        <v>0</v>
      </c>
    </row>
    <row r="200" customFormat="false" ht="15" hidden="false" customHeight="true" outlineLevel="0" collapsed="false">
      <c r="A200" s="24" t="n">
        <f aca="false">196</f>
        <v>196</v>
      </c>
      <c r="B200" s="32" t="n">
        <f aca="false">EDATE('Loan Details'!$B$9,195)</f>
        <v>52083</v>
      </c>
      <c r="C200" s="25" t="n">
        <f aca="false">LOOKUP(A200,'Loan Details'!$J$6:$J$14,'Loan Details'!$K$6:$K$14)</f>
        <v>0.0825</v>
      </c>
      <c r="D200" s="33" t="n">
        <f aca="false">I199</f>
        <v>0</v>
      </c>
      <c r="E200" s="33" t="n">
        <f aca="false">IF(D200&lt;=0,0,MIN(J200,D200+F200))</f>
        <v>0</v>
      </c>
      <c r="F200" s="33" t="n">
        <f aca="false">IF(D200&lt;=0,0,ROUND(D200*C200/12,0))</f>
        <v>0</v>
      </c>
      <c r="G200" s="33" t="n">
        <f aca="false">E200-F200</f>
        <v>0</v>
      </c>
      <c r="H200" s="33" t="n">
        <f aca="false">IF(D200&lt;=0,0,MIN(SUMIF('Loan Details'!$G$6:$G$20,A200,'Loan Details'!$H$6:$H$20),D200-G200))</f>
        <v>0</v>
      </c>
      <c r="I200" s="33" t="n">
        <f aca="false">MAX(0,D200-G200-H200)</f>
        <v>0</v>
      </c>
      <c r="J200" s="33" t="n">
        <f aca="false">IF(D200&lt;=0,0,IF(AND('Loan Details'!$B$10="Keep tenure, change EMI",OR(C200&lt;&gt;C199,H199&gt;0)),ROUND(PMT(C200/12,MAX(1,'Loan Details'!$B$8-A200+1),-D200),0),J199))</f>
        <v>0</v>
      </c>
    </row>
    <row r="201" customFormat="false" ht="15" hidden="false" customHeight="true" outlineLevel="0" collapsed="false">
      <c r="A201" s="24" t="n">
        <f aca="false">197</f>
        <v>197</v>
      </c>
      <c r="B201" s="32" t="n">
        <f aca="false">EDATE('Loan Details'!$B$9,196)</f>
        <v>52114</v>
      </c>
      <c r="C201" s="25" t="n">
        <f aca="false">LOOKUP(A201,'Loan Details'!$J$6:$J$14,'Loan Details'!$K$6:$K$14)</f>
        <v>0.0825</v>
      </c>
      <c r="D201" s="33" t="n">
        <f aca="false">I200</f>
        <v>0</v>
      </c>
      <c r="E201" s="33" t="n">
        <f aca="false">IF(D201&lt;=0,0,MIN(J201,D201+F201))</f>
        <v>0</v>
      </c>
      <c r="F201" s="33" t="n">
        <f aca="false">IF(D201&lt;=0,0,ROUND(D201*C201/12,0))</f>
        <v>0</v>
      </c>
      <c r="G201" s="33" t="n">
        <f aca="false">E201-F201</f>
        <v>0</v>
      </c>
      <c r="H201" s="33" t="n">
        <f aca="false">IF(D201&lt;=0,0,MIN(SUMIF('Loan Details'!$G$6:$G$20,A201,'Loan Details'!$H$6:$H$20),D201-G201))</f>
        <v>0</v>
      </c>
      <c r="I201" s="33" t="n">
        <f aca="false">MAX(0,D201-G201-H201)</f>
        <v>0</v>
      </c>
      <c r="J201" s="33" t="n">
        <f aca="false">IF(D201&lt;=0,0,IF(AND('Loan Details'!$B$10="Keep tenure, change EMI",OR(C201&lt;&gt;C200,H200&gt;0)),ROUND(PMT(C201/12,MAX(1,'Loan Details'!$B$8-A201+1),-D201),0),J200))</f>
        <v>0</v>
      </c>
    </row>
    <row r="202" customFormat="false" ht="15" hidden="false" customHeight="true" outlineLevel="0" collapsed="false">
      <c r="A202" s="24" t="n">
        <f aca="false">198</f>
        <v>198</v>
      </c>
      <c r="B202" s="32" t="n">
        <f aca="false">EDATE('Loan Details'!$B$9,197)</f>
        <v>52144</v>
      </c>
      <c r="C202" s="25" t="n">
        <f aca="false">LOOKUP(A202,'Loan Details'!$J$6:$J$14,'Loan Details'!$K$6:$K$14)</f>
        <v>0.0825</v>
      </c>
      <c r="D202" s="33" t="n">
        <f aca="false">I201</f>
        <v>0</v>
      </c>
      <c r="E202" s="33" t="n">
        <f aca="false">IF(D202&lt;=0,0,MIN(J202,D202+F202))</f>
        <v>0</v>
      </c>
      <c r="F202" s="33" t="n">
        <f aca="false">IF(D202&lt;=0,0,ROUND(D202*C202/12,0))</f>
        <v>0</v>
      </c>
      <c r="G202" s="33" t="n">
        <f aca="false">E202-F202</f>
        <v>0</v>
      </c>
      <c r="H202" s="33" t="n">
        <f aca="false">IF(D202&lt;=0,0,MIN(SUMIF('Loan Details'!$G$6:$G$20,A202,'Loan Details'!$H$6:$H$20),D202-G202))</f>
        <v>0</v>
      </c>
      <c r="I202" s="33" t="n">
        <f aca="false">MAX(0,D202-G202-H202)</f>
        <v>0</v>
      </c>
      <c r="J202" s="33" t="n">
        <f aca="false">IF(D202&lt;=0,0,IF(AND('Loan Details'!$B$10="Keep tenure, change EMI",OR(C202&lt;&gt;C201,H201&gt;0)),ROUND(PMT(C202/12,MAX(1,'Loan Details'!$B$8-A202+1),-D202),0),J201))</f>
        <v>0</v>
      </c>
    </row>
    <row r="203" customFormat="false" ht="15" hidden="false" customHeight="true" outlineLevel="0" collapsed="false">
      <c r="A203" s="24" t="n">
        <f aca="false">199</f>
        <v>199</v>
      </c>
      <c r="B203" s="32" t="n">
        <f aca="false">EDATE('Loan Details'!$B$9,198)</f>
        <v>52175</v>
      </c>
      <c r="C203" s="25" t="n">
        <f aca="false">LOOKUP(A203,'Loan Details'!$J$6:$J$14,'Loan Details'!$K$6:$K$14)</f>
        <v>0.0825</v>
      </c>
      <c r="D203" s="33" t="n">
        <f aca="false">I202</f>
        <v>0</v>
      </c>
      <c r="E203" s="33" t="n">
        <f aca="false">IF(D203&lt;=0,0,MIN(J203,D203+F203))</f>
        <v>0</v>
      </c>
      <c r="F203" s="33" t="n">
        <f aca="false">IF(D203&lt;=0,0,ROUND(D203*C203/12,0))</f>
        <v>0</v>
      </c>
      <c r="G203" s="33" t="n">
        <f aca="false">E203-F203</f>
        <v>0</v>
      </c>
      <c r="H203" s="33" t="n">
        <f aca="false">IF(D203&lt;=0,0,MIN(SUMIF('Loan Details'!$G$6:$G$20,A203,'Loan Details'!$H$6:$H$20),D203-G203))</f>
        <v>0</v>
      </c>
      <c r="I203" s="33" t="n">
        <f aca="false">MAX(0,D203-G203-H203)</f>
        <v>0</v>
      </c>
      <c r="J203" s="33" t="n">
        <f aca="false">IF(D203&lt;=0,0,IF(AND('Loan Details'!$B$10="Keep tenure, change EMI",OR(C203&lt;&gt;C202,H202&gt;0)),ROUND(PMT(C203/12,MAX(1,'Loan Details'!$B$8-A203+1),-D203),0),J202))</f>
        <v>0</v>
      </c>
    </row>
    <row r="204" customFormat="false" ht="15" hidden="false" customHeight="true" outlineLevel="0" collapsed="false">
      <c r="A204" s="24" t="n">
        <f aca="false">200</f>
        <v>200</v>
      </c>
      <c r="B204" s="32" t="n">
        <f aca="false">EDATE('Loan Details'!$B$9,199)</f>
        <v>52205</v>
      </c>
      <c r="C204" s="25" t="n">
        <f aca="false">LOOKUP(A204,'Loan Details'!$J$6:$J$14,'Loan Details'!$K$6:$K$14)</f>
        <v>0.0825</v>
      </c>
      <c r="D204" s="33" t="n">
        <f aca="false">I203</f>
        <v>0</v>
      </c>
      <c r="E204" s="33" t="n">
        <f aca="false">IF(D204&lt;=0,0,MIN(J204,D204+F204))</f>
        <v>0</v>
      </c>
      <c r="F204" s="33" t="n">
        <f aca="false">IF(D204&lt;=0,0,ROUND(D204*C204/12,0))</f>
        <v>0</v>
      </c>
      <c r="G204" s="33" t="n">
        <f aca="false">E204-F204</f>
        <v>0</v>
      </c>
      <c r="H204" s="33" t="n">
        <f aca="false">IF(D204&lt;=0,0,MIN(SUMIF('Loan Details'!$G$6:$G$20,A204,'Loan Details'!$H$6:$H$20),D204-G204))</f>
        <v>0</v>
      </c>
      <c r="I204" s="33" t="n">
        <f aca="false">MAX(0,D204-G204-H204)</f>
        <v>0</v>
      </c>
      <c r="J204" s="33" t="n">
        <f aca="false">IF(D204&lt;=0,0,IF(AND('Loan Details'!$B$10="Keep tenure, change EMI",OR(C204&lt;&gt;C203,H203&gt;0)),ROUND(PMT(C204/12,MAX(1,'Loan Details'!$B$8-A204+1),-D204),0),J203))</f>
        <v>0</v>
      </c>
    </row>
    <row r="205" customFormat="false" ht="15" hidden="false" customHeight="true" outlineLevel="0" collapsed="false">
      <c r="A205" s="24" t="n">
        <f aca="false">201</f>
        <v>201</v>
      </c>
      <c r="B205" s="32" t="n">
        <f aca="false">EDATE('Loan Details'!$B$9,200)</f>
        <v>52236</v>
      </c>
      <c r="C205" s="25" t="n">
        <f aca="false">LOOKUP(A205,'Loan Details'!$J$6:$J$14,'Loan Details'!$K$6:$K$14)</f>
        <v>0.0825</v>
      </c>
      <c r="D205" s="33" t="n">
        <f aca="false">I204</f>
        <v>0</v>
      </c>
      <c r="E205" s="33" t="n">
        <f aca="false">IF(D205&lt;=0,0,MIN(J205,D205+F205))</f>
        <v>0</v>
      </c>
      <c r="F205" s="33" t="n">
        <f aca="false">IF(D205&lt;=0,0,ROUND(D205*C205/12,0))</f>
        <v>0</v>
      </c>
      <c r="G205" s="33" t="n">
        <f aca="false">E205-F205</f>
        <v>0</v>
      </c>
      <c r="H205" s="33" t="n">
        <f aca="false">IF(D205&lt;=0,0,MIN(SUMIF('Loan Details'!$G$6:$G$20,A205,'Loan Details'!$H$6:$H$20),D205-G205))</f>
        <v>0</v>
      </c>
      <c r="I205" s="33" t="n">
        <f aca="false">MAX(0,D205-G205-H205)</f>
        <v>0</v>
      </c>
      <c r="J205" s="33" t="n">
        <f aca="false">IF(D205&lt;=0,0,IF(AND('Loan Details'!$B$10="Keep tenure, change EMI",OR(C205&lt;&gt;C204,H204&gt;0)),ROUND(PMT(C205/12,MAX(1,'Loan Details'!$B$8-A205+1),-D205),0),J204))</f>
        <v>0</v>
      </c>
    </row>
    <row r="206" customFormat="false" ht="15" hidden="false" customHeight="true" outlineLevel="0" collapsed="false">
      <c r="A206" s="24" t="n">
        <f aca="false">202</f>
        <v>202</v>
      </c>
      <c r="B206" s="32" t="n">
        <f aca="false">EDATE('Loan Details'!$B$9,201)</f>
        <v>52267</v>
      </c>
      <c r="C206" s="25" t="n">
        <f aca="false">LOOKUP(A206,'Loan Details'!$J$6:$J$14,'Loan Details'!$K$6:$K$14)</f>
        <v>0.0825</v>
      </c>
      <c r="D206" s="33" t="n">
        <f aca="false">I205</f>
        <v>0</v>
      </c>
      <c r="E206" s="33" t="n">
        <f aca="false">IF(D206&lt;=0,0,MIN(J206,D206+F206))</f>
        <v>0</v>
      </c>
      <c r="F206" s="33" t="n">
        <f aca="false">IF(D206&lt;=0,0,ROUND(D206*C206/12,0))</f>
        <v>0</v>
      </c>
      <c r="G206" s="33" t="n">
        <f aca="false">E206-F206</f>
        <v>0</v>
      </c>
      <c r="H206" s="33" t="n">
        <f aca="false">IF(D206&lt;=0,0,MIN(SUMIF('Loan Details'!$G$6:$G$20,A206,'Loan Details'!$H$6:$H$20),D206-G206))</f>
        <v>0</v>
      </c>
      <c r="I206" s="33" t="n">
        <f aca="false">MAX(0,D206-G206-H206)</f>
        <v>0</v>
      </c>
      <c r="J206" s="33" t="n">
        <f aca="false">IF(D206&lt;=0,0,IF(AND('Loan Details'!$B$10="Keep tenure, change EMI",OR(C206&lt;&gt;C205,H205&gt;0)),ROUND(PMT(C206/12,MAX(1,'Loan Details'!$B$8-A206+1),-D206),0),J205))</f>
        <v>0</v>
      </c>
    </row>
    <row r="207" customFormat="false" ht="15" hidden="false" customHeight="true" outlineLevel="0" collapsed="false">
      <c r="A207" s="24" t="n">
        <f aca="false">203</f>
        <v>203</v>
      </c>
      <c r="B207" s="32" t="n">
        <f aca="false">EDATE('Loan Details'!$B$9,202)</f>
        <v>52295</v>
      </c>
      <c r="C207" s="25" t="n">
        <f aca="false">LOOKUP(A207,'Loan Details'!$J$6:$J$14,'Loan Details'!$K$6:$K$14)</f>
        <v>0.0825</v>
      </c>
      <c r="D207" s="33" t="n">
        <f aca="false">I206</f>
        <v>0</v>
      </c>
      <c r="E207" s="33" t="n">
        <f aca="false">IF(D207&lt;=0,0,MIN(J207,D207+F207))</f>
        <v>0</v>
      </c>
      <c r="F207" s="33" t="n">
        <f aca="false">IF(D207&lt;=0,0,ROUND(D207*C207/12,0))</f>
        <v>0</v>
      </c>
      <c r="G207" s="33" t="n">
        <f aca="false">E207-F207</f>
        <v>0</v>
      </c>
      <c r="H207" s="33" t="n">
        <f aca="false">IF(D207&lt;=0,0,MIN(SUMIF('Loan Details'!$G$6:$G$20,A207,'Loan Details'!$H$6:$H$20),D207-G207))</f>
        <v>0</v>
      </c>
      <c r="I207" s="33" t="n">
        <f aca="false">MAX(0,D207-G207-H207)</f>
        <v>0</v>
      </c>
      <c r="J207" s="33" t="n">
        <f aca="false">IF(D207&lt;=0,0,IF(AND('Loan Details'!$B$10="Keep tenure, change EMI",OR(C207&lt;&gt;C206,H206&gt;0)),ROUND(PMT(C207/12,MAX(1,'Loan Details'!$B$8-A207+1),-D207),0),J206))</f>
        <v>0</v>
      </c>
    </row>
    <row r="208" customFormat="false" ht="15" hidden="false" customHeight="true" outlineLevel="0" collapsed="false">
      <c r="A208" s="24" t="n">
        <f aca="false">204</f>
        <v>204</v>
      </c>
      <c r="B208" s="32" t="n">
        <f aca="false">EDATE('Loan Details'!$B$9,203)</f>
        <v>52326</v>
      </c>
      <c r="C208" s="25" t="n">
        <f aca="false">LOOKUP(A208,'Loan Details'!$J$6:$J$14,'Loan Details'!$K$6:$K$14)</f>
        <v>0.0825</v>
      </c>
      <c r="D208" s="33" t="n">
        <f aca="false">I207</f>
        <v>0</v>
      </c>
      <c r="E208" s="33" t="n">
        <f aca="false">IF(D208&lt;=0,0,MIN(J208,D208+F208))</f>
        <v>0</v>
      </c>
      <c r="F208" s="33" t="n">
        <f aca="false">IF(D208&lt;=0,0,ROUND(D208*C208/12,0))</f>
        <v>0</v>
      </c>
      <c r="G208" s="33" t="n">
        <f aca="false">E208-F208</f>
        <v>0</v>
      </c>
      <c r="H208" s="33" t="n">
        <f aca="false">IF(D208&lt;=0,0,MIN(SUMIF('Loan Details'!$G$6:$G$20,A208,'Loan Details'!$H$6:$H$20),D208-G208))</f>
        <v>0</v>
      </c>
      <c r="I208" s="33" t="n">
        <f aca="false">MAX(0,D208-G208-H208)</f>
        <v>0</v>
      </c>
      <c r="J208" s="33" t="n">
        <f aca="false">IF(D208&lt;=0,0,IF(AND('Loan Details'!$B$10="Keep tenure, change EMI",OR(C208&lt;&gt;C207,H207&gt;0)),ROUND(PMT(C208/12,MAX(1,'Loan Details'!$B$8-A208+1),-D208),0),J207))</f>
        <v>0</v>
      </c>
    </row>
    <row r="209" customFormat="false" ht="15" hidden="false" customHeight="true" outlineLevel="0" collapsed="false">
      <c r="A209" s="24" t="n">
        <f aca="false">205</f>
        <v>205</v>
      </c>
      <c r="B209" s="32" t="n">
        <f aca="false">EDATE('Loan Details'!$B$9,204)</f>
        <v>52356</v>
      </c>
      <c r="C209" s="25" t="n">
        <f aca="false">LOOKUP(A209,'Loan Details'!$J$6:$J$14,'Loan Details'!$K$6:$K$14)</f>
        <v>0.0825</v>
      </c>
      <c r="D209" s="33" t="n">
        <f aca="false">I208</f>
        <v>0</v>
      </c>
      <c r="E209" s="33" t="n">
        <f aca="false">IF(D209&lt;=0,0,MIN(J209,D209+F209))</f>
        <v>0</v>
      </c>
      <c r="F209" s="33" t="n">
        <f aca="false">IF(D209&lt;=0,0,ROUND(D209*C209/12,0))</f>
        <v>0</v>
      </c>
      <c r="G209" s="33" t="n">
        <f aca="false">E209-F209</f>
        <v>0</v>
      </c>
      <c r="H209" s="33" t="n">
        <f aca="false">IF(D209&lt;=0,0,MIN(SUMIF('Loan Details'!$G$6:$G$20,A209,'Loan Details'!$H$6:$H$20),D209-G209))</f>
        <v>0</v>
      </c>
      <c r="I209" s="33" t="n">
        <f aca="false">MAX(0,D209-G209-H209)</f>
        <v>0</v>
      </c>
      <c r="J209" s="33" t="n">
        <f aca="false">IF(D209&lt;=0,0,IF(AND('Loan Details'!$B$10="Keep tenure, change EMI",OR(C209&lt;&gt;C208,H208&gt;0)),ROUND(PMT(C209/12,MAX(1,'Loan Details'!$B$8-A209+1),-D209),0),J208))</f>
        <v>0</v>
      </c>
    </row>
    <row r="210" customFormat="false" ht="15" hidden="false" customHeight="true" outlineLevel="0" collapsed="false">
      <c r="A210" s="24" t="n">
        <f aca="false">206</f>
        <v>206</v>
      </c>
      <c r="B210" s="32" t="n">
        <f aca="false">EDATE('Loan Details'!$B$9,205)</f>
        <v>52387</v>
      </c>
      <c r="C210" s="25" t="n">
        <f aca="false">LOOKUP(A210,'Loan Details'!$J$6:$J$14,'Loan Details'!$K$6:$K$14)</f>
        <v>0.0825</v>
      </c>
      <c r="D210" s="33" t="n">
        <f aca="false">I209</f>
        <v>0</v>
      </c>
      <c r="E210" s="33" t="n">
        <f aca="false">IF(D210&lt;=0,0,MIN(J210,D210+F210))</f>
        <v>0</v>
      </c>
      <c r="F210" s="33" t="n">
        <f aca="false">IF(D210&lt;=0,0,ROUND(D210*C210/12,0))</f>
        <v>0</v>
      </c>
      <c r="G210" s="33" t="n">
        <f aca="false">E210-F210</f>
        <v>0</v>
      </c>
      <c r="H210" s="33" t="n">
        <f aca="false">IF(D210&lt;=0,0,MIN(SUMIF('Loan Details'!$G$6:$G$20,A210,'Loan Details'!$H$6:$H$20),D210-G210))</f>
        <v>0</v>
      </c>
      <c r="I210" s="33" t="n">
        <f aca="false">MAX(0,D210-G210-H210)</f>
        <v>0</v>
      </c>
      <c r="J210" s="33" t="n">
        <f aca="false">IF(D210&lt;=0,0,IF(AND('Loan Details'!$B$10="Keep tenure, change EMI",OR(C210&lt;&gt;C209,H209&gt;0)),ROUND(PMT(C210/12,MAX(1,'Loan Details'!$B$8-A210+1),-D210),0),J209))</f>
        <v>0</v>
      </c>
    </row>
    <row r="211" customFormat="false" ht="15" hidden="false" customHeight="true" outlineLevel="0" collapsed="false">
      <c r="A211" s="24" t="n">
        <f aca="false">207</f>
        <v>207</v>
      </c>
      <c r="B211" s="32" t="n">
        <f aca="false">EDATE('Loan Details'!$B$9,206)</f>
        <v>52417</v>
      </c>
      <c r="C211" s="25" t="n">
        <f aca="false">LOOKUP(A211,'Loan Details'!$J$6:$J$14,'Loan Details'!$K$6:$K$14)</f>
        <v>0.0825</v>
      </c>
      <c r="D211" s="33" t="n">
        <f aca="false">I210</f>
        <v>0</v>
      </c>
      <c r="E211" s="33" t="n">
        <f aca="false">IF(D211&lt;=0,0,MIN(J211,D211+F211))</f>
        <v>0</v>
      </c>
      <c r="F211" s="33" t="n">
        <f aca="false">IF(D211&lt;=0,0,ROUND(D211*C211/12,0))</f>
        <v>0</v>
      </c>
      <c r="G211" s="33" t="n">
        <f aca="false">E211-F211</f>
        <v>0</v>
      </c>
      <c r="H211" s="33" t="n">
        <f aca="false">IF(D211&lt;=0,0,MIN(SUMIF('Loan Details'!$G$6:$G$20,A211,'Loan Details'!$H$6:$H$20),D211-G211))</f>
        <v>0</v>
      </c>
      <c r="I211" s="33" t="n">
        <f aca="false">MAX(0,D211-G211-H211)</f>
        <v>0</v>
      </c>
      <c r="J211" s="33" t="n">
        <f aca="false">IF(D211&lt;=0,0,IF(AND('Loan Details'!$B$10="Keep tenure, change EMI",OR(C211&lt;&gt;C210,H210&gt;0)),ROUND(PMT(C211/12,MAX(1,'Loan Details'!$B$8-A211+1),-D211),0),J210))</f>
        <v>0</v>
      </c>
    </row>
    <row r="212" customFormat="false" ht="15" hidden="false" customHeight="true" outlineLevel="0" collapsed="false">
      <c r="A212" s="24" t="n">
        <f aca="false">208</f>
        <v>208</v>
      </c>
      <c r="B212" s="32" t="n">
        <f aca="false">EDATE('Loan Details'!$B$9,207)</f>
        <v>52448</v>
      </c>
      <c r="C212" s="25" t="n">
        <f aca="false">LOOKUP(A212,'Loan Details'!$J$6:$J$14,'Loan Details'!$K$6:$K$14)</f>
        <v>0.0825</v>
      </c>
      <c r="D212" s="33" t="n">
        <f aca="false">I211</f>
        <v>0</v>
      </c>
      <c r="E212" s="33" t="n">
        <f aca="false">IF(D212&lt;=0,0,MIN(J212,D212+F212))</f>
        <v>0</v>
      </c>
      <c r="F212" s="33" t="n">
        <f aca="false">IF(D212&lt;=0,0,ROUND(D212*C212/12,0))</f>
        <v>0</v>
      </c>
      <c r="G212" s="33" t="n">
        <f aca="false">E212-F212</f>
        <v>0</v>
      </c>
      <c r="H212" s="33" t="n">
        <f aca="false">IF(D212&lt;=0,0,MIN(SUMIF('Loan Details'!$G$6:$G$20,A212,'Loan Details'!$H$6:$H$20),D212-G212))</f>
        <v>0</v>
      </c>
      <c r="I212" s="33" t="n">
        <f aca="false">MAX(0,D212-G212-H212)</f>
        <v>0</v>
      </c>
      <c r="J212" s="33" t="n">
        <f aca="false">IF(D212&lt;=0,0,IF(AND('Loan Details'!$B$10="Keep tenure, change EMI",OR(C212&lt;&gt;C211,H211&gt;0)),ROUND(PMT(C212/12,MAX(1,'Loan Details'!$B$8-A212+1),-D212),0),J211))</f>
        <v>0</v>
      </c>
    </row>
    <row r="213" customFormat="false" ht="15" hidden="false" customHeight="true" outlineLevel="0" collapsed="false">
      <c r="A213" s="24" t="n">
        <f aca="false">209</f>
        <v>209</v>
      </c>
      <c r="B213" s="32" t="n">
        <f aca="false">EDATE('Loan Details'!$B$9,208)</f>
        <v>52479</v>
      </c>
      <c r="C213" s="25" t="n">
        <f aca="false">LOOKUP(A213,'Loan Details'!$J$6:$J$14,'Loan Details'!$K$6:$K$14)</f>
        <v>0.0825</v>
      </c>
      <c r="D213" s="33" t="n">
        <f aca="false">I212</f>
        <v>0</v>
      </c>
      <c r="E213" s="33" t="n">
        <f aca="false">IF(D213&lt;=0,0,MIN(J213,D213+F213))</f>
        <v>0</v>
      </c>
      <c r="F213" s="33" t="n">
        <f aca="false">IF(D213&lt;=0,0,ROUND(D213*C213/12,0))</f>
        <v>0</v>
      </c>
      <c r="G213" s="33" t="n">
        <f aca="false">E213-F213</f>
        <v>0</v>
      </c>
      <c r="H213" s="33" t="n">
        <f aca="false">IF(D213&lt;=0,0,MIN(SUMIF('Loan Details'!$G$6:$G$20,A213,'Loan Details'!$H$6:$H$20),D213-G213))</f>
        <v>0</v>
      </c>
      <c r="I213" s="33" t="n">
        <f aca="false">MAX(0,D213-G213-H213)</f>
        <v>0</v>
      </c>
      <c r="J213" s="33" t="n">
        <f aca="false">IF(D213&lt;=0,0,IF(AND('Loan Details'!$B$10="Keep tenure, change EMI",OR(C213&lt;&gt;C212,H212&gt;0)),ROUND(PMT(C213/12,MAX(1,'Loan Details'!$B$8-A213+1),-D213),0),J212))</f>
        <v>0</v>
      </c>
    </row>
    <row r="214" customFormat="false" ht="15" hidden="false" customHeight="true" outlineLevel="0" collapsed="false">
      <c r="A214" s="24" t="n">
        <f aca="false">210</f>
        <v>210</v>
      </c>
      <c r="B214" s="32" t="n">
        <f aca="false">EDATE('Loan Details'!$B$9,209)</f>
        <v>52509</v>
      </c>
      <c r="C214" s="25" t="n">
        <f aca="false">LOOKUP(A214,'Loan Details'!$J$6:$J$14,'Loan Details'!$K$6:$K$14)</f>
        <v>0.0825</v>
      </c>
      <c r="D214" s="33" t="n">
        <f aca="false">I213</f>
        <v>0</v>
      </c>
      <c r="E214" s="33" t="n">
        <f aca="false">IF(D214&lt;=0,0,MIN(J214,D214+F214))</f>
        <v>0</v>
      </c>
      <c r="F214" s="33" t="n">
        <f aca="false">IF(D214&lt;=0,0,ROUND(D214*C214/12,0))</f>
        <v>0</v>
      </c>
      <c r="G214" s="33" t="n">
        <f aca="false">E214-F214</f>
        <v>0</v>
      </c>
      <c r="H214" s="33" t="n">
        <f aca="false">IF(D214&lt;=0,0,MIN(SUMIF('Loan Details'!$G$6:$G$20,A214,'Loan Details'!$H$6:$H$20),D214-G214))</f>
        <v>0</v>
      </c>
      <c r="I214" s="33" t="n">
        <f aca="false">MAX(0,D214-G214-H214)</f>
        <v>0</v>
      </c>
      <c r="J214" s="33" t="n">
        <f aca="false">IF(D214&lt;=0,0,IF(AND('Loan Details'!$B$10="Keep tenure, change EMI",OR(C214&lt;&gt;C213,H213&gt;0)),ROUND(PMT(C214/12,MAX(1,'Loan Details'!$B$8-A214+1),-D214),0),J213))</f>
        <v>0</v>
      </c>
    </row>
    <row r="215" customFormat="false" ht="15" hidden="false" customHeight="true" outlineLevel="0" collapsed="false">
      <c r="A215" s="24" t="n">
        <f aca="false">211</f>
        <v>211</v>
      </c>
      <c r="B215" s="32" t="n">
        <f aca="false">EDATE('Loan Details'!$B$9,210)</f>
        <v>52540</v>
      </c>
      <c r="C215" s="25" t="n">
        <f aca="false">LOOKUP(A215,'Loan Details'!$J$6:$J$14,'Loan Details'!$K$6:$K$14)</f>
        <v>0.0825</v>
      </c>
      <c r="D215" s="33" t="n">
        <f aca="false">I214</f>
        <v>0</v>
      </c>
      <c r="E215" s="33" t="n">
        <f aca="false">IF(D215&lt;=0,0,MIN(J215,D215+F215))</f>
        <v>0</v>
      </c>
      <c r="F215" s="33" t="n">
        <f aca="false">IF(D215&lt;=0,0,ROUND(D215*C215/12,0))</f>
        <v>0</v>
      </c>
      <c r="G215" s="33" t="n">
        <f aca="false">E215-F215</f>
        <v>0</v>
      </c>
      <c r="H215" s="33" t="n">
        <f aca="false">IF(D215&lt;=0,0,MIN(SUMIF('Loan Details'!$G$6:$G$20,A215,'Loan Details'!$H$6:$H$20),D215-G215))</f>
        <v>0</v>
      </c>
      <c r="I215" s="33" t="n">
        <f aca="false">MAX(0,D215-G215-H215)</f>
        <v>0</v>
      </c>
      <c r="J215" s="33" t="n">
        <f aca="false">IF(D215&lt;=0,0,IF(AND('Loan Details'!$B$10="Keep tenure, change EMI",OR(C215&lt;&gt;C214,H214&gt;0)),ROUND(PMT(C215/12,MAX(1,'Loan Details'!$B$8-A215+1),-D215),0),J214))</f>
        <v>0</v>
      </c>
    </row>
    <row r="216" customFormat="false" ht="15" hidden="false" customHeight="true" outlineLevel="0" collapsed="false">
      <c r="A216" s="24" t="n">
        <f aca="false">212</f>
        <v>212</v>
      </c>
      <c r="B216" s="32" t="n">
        <f aca="false">EDATE('Loan Details'!$B$9,211)</f>
        <v>52570</v>
      </c>
      <c r="C216" s="25" t="n">
        <f aca="false">LOOKUP(A216,'Loan Details'!$J$6:$J$14,'Loan Details'!$K$6:$K$14)</f>
        <v>0.0825</v>
      </c>
      <c r="D216" s="33" t="n">
        <f aca="false">I215</f>
        <v>0</v>
      </c>
      <c r="E216" s="33" t="n">
        <f aca="false">IF(D216&lt;=0,0,MIN(J216,D216+F216))</f>
        <v>0</v>
      </c>
      <c r="F216" s="33" t="n">
        <f aca="false">IF(D216&lt;=0,0,ROUND(D216*C216/12,0))</f>
        <v>0</v>
      </c>
      <c r="G216" s="33" t="n">
        <f aca="false">E216-F216</f>
        <v>0</v>
      </c>
      <c r="H216" s="33" t="n">
        <f aca="false">IF(D216&lt;=0,0,MIN(SUMIF('Loan Details'!$G$6:$G$20,A216,'Loan Details'!$H$6:$H$20),D216-G216))</f>
        <v>0</v>
      </c>
      <c r="I216" s="33" t="n">
        <f aca="false">MAX(0,D216-G216-H216)</f>
        <v>0</v>
      </c>
      <c r="J216" s="33" t="n">
        <f aca="false">IF(D216&lt;=0,0,IF(AND('Loan Details'!$B$10="Keep tenure, change EMI",OR(C216&lt;&gt;C215,H215&gt;0)),ROUND(PMT(C216/12,MAX(1,'Loan Details'!$B$8-A216+1),-D216),0),J215))</f>
        <v>0</v>
      </c>
    </row>
    <row r="217" customFormat="false" ht="15" hidden="false" customHeight="true" outlineLevel="0" collapsed="false">
      <c r="A217" s="24" t="n">
        <f aca="false">213</f>
        <v>213</v>
      </c>
      <c r="B217" s="32" t="n">
        <f aca="false">EDATE('Loan Details'!$B$9,212)</f>
        <v>52601</v>
      </c>
      <c r="C217" s="25" t="n">
        <f aca="false">LOOKUP(A217,'Loan Details'!$J$6:$J$14,'Loan Details'!$K$6:$K$14)</f>
        <v>0.0825</v>
      </c>
      <c r="D217" s="33" t="n">
        <f aca="false">I216</f>
        <v>0</v>
      </c>
      <c r="E217" s="33" t="n">
        <f aca="false">IF(D217&lt;=0,0,MIN(J217,D217+F217))</f>
        <v>0</v>
      </c>
      <c r="F217" s="33" t="n">
        <f aca="false">IF(D217&lt;=0,0,ROUND(D217*C217/12,0))</f>
        <v>0</v>
      </c>
      <c r="G217" s="33" t="n">
        <f aca="false">E217-F217</f>
        <v>0</v>
      </c>
      <c r="H217" s="33" t="n">
        <f aca="false">IF(D217&lt;=0,0,MIN(SUMIF('Loan Details'!$G$6:$G$20,A217,'Loan Details'!$H$6:$H$20),D217-G217))</f>
        <v>0</v>
      </c>
      <c r="I217" s="33" t="n">
        <f aca="false">MAX(0,D217-G217-H217)</f>
        <v>0</v>
      </c>
      <c r="J217" s="33" t="n">
        <f aca="false">IF(D217&lt;=0,0,IF(AND('Loan Details'!$B$10="Keep tenure, change EMI",OR(C217&lt;&gt;C216,H216&gt;0)),ROUND(PMT(C217/12,MAX(1,'Loan Details'!$B$8-A217+1),-D217),0),J216))</f>
        <v>0</v>
      </c>
    </row>
    <row r="218" customFormat="false" ht="15" hidden="false" customHeight="true" outlineLevel="0" collapsed="false">
      <c r="A218" s="24" t="n">
        <f aca="false">214</f>
        <v>214</v>
      </c>
      <c r="B218" s="32" t="n">
        <f aca="false">EDATE('Loan Details'!$B$9,213)</f>
        <v>52632</v>
      </c>
      <c r="C218" s="25" t="n">
        <f aca="false">LOOKUP(A218,'Loan Details'!$J$6:$J$14,'Loan Details'!$K$6:$K$14)</f>
        <v>0.0825</v>
      </c>
      <c r="D218" s="33" t="n">
        <f aca="false">I217</f>
        <v>0</v>
      </c>
      <c r="E218" s="33" t="n">
        <f aca="false">IF(D218&lt;=0,0,MIN(J218,D218+F218))</f>
        <v>0</v>
      </c>
      <c r="F218" s="33" t="n">
        <f aca="false">IF(D218&lt;=0,0,ROUND(D218*C218/12,0))</f>
        <v>0</v>
      </c>
      <c r="G218" s="33" t="n">
        <f aca="false">E218-F218</f>
        <v>0</v>
      </c>
      <c r="H218" s="33" t="n">
        <f aca="false">IF(D218&lt;=0,0,MIN(SUMIF('Loan Details'!$G$6:$G$20,A218,'Loan Details'!$H$6:$H$20),D218-G218))</f>
        <v>0</v>
      </c>
      <c r="I218" s="33" t="n">
        <f aca="false">MAX(0,D218-G218-H218)</f>
        <v>0</v>
      </c>
      <c r="J218" s="33" t="n">
        <f aca="false">IF(D218&lt;=0,0,IF(AND('Loan Details'!$B$10="Keep tenure, change EMI",OR(C218&lt;&gt;C217,H217&gt;0)),ROUND(PMT(C218/12,MAX(1,'Loan Details'!$B$8-A218+1),-D218),0),J217))</f>
        <v>0</v>
      </c>
    </row>
    <row r="219" customFormat="false" ht="15" hidden="false" customHeight="true" outlineLevel="0" collapsed="false">
      <c r="A219" s="24" t="n">
        <f aca="false">215</f>
        <v>215</v>
      </c>
      <c r="B219" s="32" t="n">
        <f aca="false">EDATE('Loan Details'!$B$9,214)</f>
        <v>52661</v>
      </c>
      <c r="C219" s="25" t="n">
        <f aca="false">LOOKUP(A219,'Loan Details'!$J$6:$J$14,'Loan Details'!$K$6:$K$14)</f>
        <v>0.0825</v>
      </c>
      <c r="D219" s="33" t="n">
        <f aca="false">I218</f>
        <v>0</v>
      </c>
      <c r="E219" s="33" t="n">
        <f aca="false">IF(D219&lt;=0,0,MIN(J219,D219+F219))</f>
        <v>0</v>
      </c>
      <c r="F219" s="33" t="n">
        <f aca="false">IF(D219&lt;=0,0,ROUND(D219*C219/12,0))</f>
        <v>0</v>
      </c>
      <c r="G219" s="33" t="n">
        <f aca="false">E219-F219</f>
        <v>0</v>
      </c>
      <c r="H219" s="33" t="n">
        <f aca="false">IF(D219&lt;=0,0,MIN(SUMIF('Loan Details'!$G$6:$G$20,A219,'Loan Details'!$H$6:$H$20),D219-G219))</f>
        <v>0</v>
      </c>
      <c r="I219" s="33" t="n">
        <f aca="false">MAX(0,D219-G219-H219)</f>
        <v>0</v>
      </c>
      <c r="J219" s="33" t="n">
        <f aca="false">IF(D219&lt;=0,0,IF(AND('Loan Details'!$B$10="Keep tenure, change EMI",OR(C219&lt;&gt;C218,H218&gt;0)),ROUND(PMT(C219/12,MAX(1,'Loan Details'!$B$8-A219+1),-D219),0),J218))</f>
        <v>0</v>
      </c>
    </row>
    <row r="220" customFormat="false" ht="15" hidden="false" customHeight="true" outlineLevel="0" collapsed="false">
      <c r="A220" s="24" t="n">
        <f aca="false">216</f>
        <v>216</v>
      </c>
      <c r="B220" s="32" t="n">
        <f aca="false">EDATE('Loan Details'!$B$9,215)</f>
        <v>52692</v>
      </c>
      <c r="C220" s="25" t="n">
        <f aca="false">LOOKUP(A220,'Loan Details'!$J$6:$J$14,'Loan Details'!$K$6:$K$14)</f>
        <v>0.0825</v>
      </c>
      <c r="D220" s="33" t="n">
        <f aca="false">I219</f>
        <v>0</v>
      </c>
      <c r="E220" s="33" t="n">
        <f aca="false">IF(D220&lt;=0,0,MIN(J220,D220+F220))</f>
        <v>0</v>
      </c>
      <c r="F220" s="33" t="n">
        <f aca="false">IF(D220&lt;=0,0,ROUND(D220*C220/12,0))</f>
        <v>0</v>
      </c>
      <c r="G220" s="33" t="n">
        <f aca="false">E220-F220</f>
        <v>0</v>
      </c>
      <c r="H220" s="33" t="n">
        <f aca="false">IF(D220&lt;=0,0,MIN(SUMIF('Loan Details'!$G$6:$G$20,A220,'Loan Details'!$H$6:$H$20),D220-G220))</f>
        <v>0</v>
      </c>
      <c r="I220" s="33" t="n">
        <f aca="false">MAX(0,D220-G220-H220)</f>
        <v>0</v>
      </c>
      <c r="J220" s="33" t="n">
        <f aca="false">IF(D220&lt;=0,0,IF(AND('Loan Details'!$B$10="Keep tenure, change EMI",OR(C220&lt;&gt;C219,H219&gt;0)),ROUND(PMT(C220/12,MAX(1,'Loan Details'!$B$8-A220+1),-D220),0),J219))</f>
        <v>0</v>
      </c>
    </row>
    <row r="221" customFormat="false" ht="15" hidden="false" customHeight="true" outlineLevel="0" collapsed="false">
      <c r="A221" s="24" t="n">
        <f aca="false">217</f>
        <v>217</v>
      </c>
      <c r="B221" s="32" t="n">
        <f aca="false">EDATE('Loan Details'!$B$9,216)</f>
        <v>52722</v>
      </c>
      <c r="C221" s="25" t="n">
        <f aca="false">LOOKUP(A221,'Loan Details'!$J$6:$J$14,'Loan Details'!$K$6:$K$14)</f>
        <v>0.0825</v>
      </c>
      <c r="D221" s="33" t="n">
        <f aca="false">I220</f>
        <v>0</v>
      </c>
      <c r="E221" s="33" t="n">
        <f aca="false">IF(D221&lt;=0,0,MIN(J221,D221+F221))</f>
        <v>0</v>
      </c>
      <c r="F221" s="33" t="n">
        <f aca="false">IF(D221&lt;=0,0,ROUND(D221*C221/12,0))</f>
        <v>0</v>
      </c>
      <c r="G221" s="33" t="n">
        <f aca="false">E221-F221</f>
        <v>0</v>
      </c>
      <c r="H221" s="33" t="n">
        <f aca="false">IF(D221&lt;=0,0,MIN(SUMIF('Loan Details'!$G$6:$G$20,A221,'Loan Details'!$H$6:$H$20),D221-G221))</f>
        <v>0</v>
      </c>
      <c r="I221" s="33" t="n">
        <f aca="false">MAX(0,D221-G221-H221)</f>
        <v>0</v>
      </c>
      <c r="J221" s="33" t="n">
        <f aca="false">IF(D221&lt;=0,0,IF(AND('Loan Details'!$B$10="Keep tenure, change EMI",OR(C221&lt;&gt;C220,H220&gt;0)),ROUND(PMT(C221/12,MAX(1,'Loan Details'!$B$8-A221+1),-D221),0),J220))</f>
        <v>0</v>
      </c>
    </row>
    <row r="222" customFormat="false" ht="15" hidden="false" customHeight="true" outlineLevel="0" collapsed="false">
      <c r="A222" s="24" t="n">
        <f aca="false">218</f>
        <v>218</v>
      </c>
      <c r="B222" s="32" t="n">
        <f aca="false">EDATE('Loan Details'!$B$9,217)</f>
        <v>52753</v>
      </c>
      <c r="C222" s="25" t="n">
        <f aca="false">LOOKUP(A222,'Loan Details'!$J$6:$J$14,'Loan Details'!$K$6:$K$14)</f>
        <v>0.0825</v>
      </c>
      <c r="D222" s="33" t="n">
        <f aca="false">I221</f>
        <v>0</v>
      </c>
      <c r="E222" s="33" t="n">
        <f aca="false">IF(D222&lt;=0,0,MIN(J222,D222+F222))</f>
        <v>0</v>
      </c>
      <c r="F222" s="33" t="n">
        <f aca="false">IF(D222&lt;=0,0,ROUND(D222*C222/12,0))</f>
        <v>0</v>
      </c>
      <c r="G222" s="33" t="n">
        <f aca="false">E222-F222</f>
        <v>0</v>
      </c>
      <c r="H222" s="33" t="n">
        <f aca="false">IF(D222&lt;=0,0,MIN(SUMIF('Loan Details'!$G$6:$G$20,A222,'Loan Details'!$H$6:$H$20),D222-G222))</f>
        <v>0</v>
      </c>
      <c r="I222" s="33" t="n">
        <f aca="false">MAX(0,D222-G222-H222)</f>
        <v>0</v>
      </c>
      <c r="J222" s="33" t="n">
        <f aca="false">IF(D222&lt;=0,0,IF(AND('Loan Details'!$B$10="Keep tenure, change EMI",OR(C222&lt;&gt;C221,H221&gt;0)),ROUND(PMT(C222/12,MAX(1,'Loan Details'!$B$8-A222+1),-D222),0),J221))</f>
        <v>0</v>
      </c>
    </row>
    <row r="223" customFormat="false" ht="15" hidden="false" customHeight="true" outlineLevel="0" collapsed="false">
      <c r="A223" s="24" t="n">
        <f aca="false">219</f>
        <v>219</v>
      </c>
      <c r="B223" s="32" t="n">
        <f aca="false">EDATE('Loan Details'!$B$9,218)</f>
        <v>52783</v>
      </c>
      <c r="C223" s="25" t="n">
        <f aca="false">LOOKUP(A223,'Loan Details'!$J$6:$J$14,'Loan Details'!$K$6:$K$14)</f>
        <v>0.0825</v>
      </c>
      <c r="D223" s="33" t="n">
        <f aca="false">I222</f>
        <v>0</v>
      </c>
      <c r="E223" s="33" t="n">
        <f aca="false">IF(D223&lt;=0,0,MIN(J223,D223+F223))</f>
        <v>0</v>
      </c>
      <c r="F223" s="33" t="n">
        <f aca="false">IF(D223&lt;=0,0,ROUND(D223*C223/12,0))</f>
        <v>0</v>
      </c>
      <c r="G223" s="33" t="n">
        <f aca="false">E223-F223</f>
        <v>0</v>
      </c>
      <c r="H223" s="33" t="n">
        <f aca="false">IF(D223&lt;=0,0,MIN(SUMIF('Loan Details'!$G$6:$G$20,A223,'Loan Details'!$H$6:$H$20),D223-G223))</f>
        <v>0</v>
      </c>
      <c r="I223" s="33" t="n">
        <f aca="false">MAX(0,D223-G223-H223)</f>
        <v>0</v>
      </c>
      <c r="J223" s="33" t="n">
        <f aca="false">IF(D223&lt;=0,0,IF(AND('Loan Details'!$B$10="Keep tenure, change EMI",OR(C223&lt;&gt;C222,H222&gt;0)),ROUND(PMT(C223/12,MAX(1,'Loan Details'!$B$8-A223+1),-D223),0),J222))</f>
        <v>0</v>
      </c>
    </row>
    <row r="224" customFormat="false" ht="15" hidden="false" customHeight="true" outlineLevel="0" collapsed="false">
      <c r="A224" s="24" t="n">
        <f aca="false">220</f>
        <v>220</v>
      </c>
      <c r="B224" s="32" t="n">
        <f aca="false">EDATE('Loan Details'!$B$9,219)</f>
        <v>52814</v>
      </c>
      <c r="C224" s="25" t="n">
        <f aca="false">LOOKUP(A224,'Loan Details'!$J$6:$J$14,'Loan Details'!$K$6:$K$14)</f>
        <v>0.0825</v>
      </c>
      <c r="D224" s="33" t="n">
        <f aca="false">I223</f>
        <v>0</v>
      </c>
      <c r="E224" s="33" t="n">
        <f aca="false">IF(D224&lt;=0,0,MIN(J224,D224+F224))</f>
        <v>0</v>
      </c>
      <c r="F224" s="33" t="n">
        <f aca="false">IF(D224&lt;=0,0,ROUND(D224*C224/12,0))</f>
        <v>0</v>
      </c>
      <c r="G224" s="33" t="n">
        <f aca="false">E224-F224</f>
        <v>0</v>
      </c>
      <c r="H224" s="33" t="n">
        <f aca="false">IF(D224&lt;=0,0,MIN(SUMIF('Loan Details'!$G$6:$G$20,A224,'Loan Details'!$H$6:$H$20),D224-G224))</f>
        <v>0</v>
      </c>
      <c r="I224" s="33" t="n">
        <f aca="false">MAX(0,D224-G224-H224)</f>
        <v>0</v>
      </c>
      <c r="J224" s="33" t="n">
        <f aca="false">IF(D224&lt;=0,0,IF(AND('Loan Details'!$B$10="Keep tenure, change EMI",OR(C224&lt;&gt;C223,H223&gt;0)),ROUND(PMT(C224/12,MAX(1,'Loan Details'!$B$8-A224+1),-D224),0),J223))</f>
        <v>0</v>
      </c>
    </row>
    <row r="225" customFormat="false" ht="15" hidden="false" customHeight="true" outlineLevel="0" collapsed="false">
      <c r="A225" s="24" t="n">
        <f aca="false">221</f>
        <v>221</v>
      </c>
      <c r="B225" s="32" t="n">
        <f aca="false">EDATE('Loan Details'!$B$9,220)</f>
        <v>52845</v>
      </c>
      <c r="C225" s="25" t="n">
        <f aca="false">LOOKUP(A225,'Loan Details'!$J$6:$J$14,'Loan Details'!$K$6:$K$14)</f>
        <v>0.0825</v>
      </c>
      <c r="D225" s="33" t="n">
        <f aca="false">I224</f>
        <v>0</v>
      </c>
      <c r="E225" s="33" t="n">
        <f aca="false">IF(D225&lt;=0,0,MIN(J225,D225+F225))</f>
        <v>0</v>
      </c>
      <c r="F225" s="33" t="n">
        <f aca="false">IF(D225&lt;=0,0,ROUND(D225*C225/12,0))</f>
        <v>0</v>
      </c>
      <c r="G225" s="33" t="n">
        <f aca="false">E225-F225</f>
        <v>0</v>
      </c>
      <c r="H225" s="33" t="n">
        <f aca="false">IF(D225&lt;=0,0,MIN(SUMIF('Loan Details'!$G$6:$G$20,A225,'Loan Details'!$H$6:$H$20),D225-G225))</f>
        <v>0</v>
      </c>
      <c r="I225" s="33" t="n">
        <f aca="false">MAX(0,D225-G225-H225)</f>
        <v>0</v>
      </c>
      <c r="J225" s="33" t="n">
        <f aca="false">IF(D225&lt;=0,0,IF(AND('Loan Details'!$B$10="Keep tenure, change EMI",OR(C225&lt;&gt;C224,H224&gt;0)),ROUND(PMT(C225/12,MAX(1,'Loan Details'!$B$8-A225+1),-D225),0),J224))</f>
        <v>0</v>
      </c>
    </row>
    <row r="226" customFormat="false" ht="15" hidden="false" customHeight="true" outlineLevel="0" collapsed="false">
      <c r="A226" s="24" t="n">
        <f aca="false">222</f>
        <v>222</v>
      </c>
      <c r="B226" s="32" t="n">
        <f aca="false">EDATE('Loan Details'!$B$9,221)</f>
        <v>52875</v>
      </c>
      <c r="C226" s="25" t="n">
        <f aca="false">LOOKUP(A226,'Loan Details'!$J$6:$J$14,'Loan Details'!$K$6:$K$14)</f>
        <v>0.0825</v>
      </c>
      <c r="D226" s="33" t="n">
        <f aca="false">I225</f>
        <v>0</v>
      </c>
      <c r="E226" s="33" t="n">
        <f aca="false">IF(D226&lt;=0,0,MIN(J226,D226+F226))</f>
        <v>0</v>
      </c>
      <c r="F226" s="33" t="n">
        <f aca="false">IF(D226&lt;=0,0,ROUND(D226*C226/12,0))</f>
        <v>0</v>
      </c>
      <c r="G226" s="33" t="n">
        <f aca="false">E226-F226</f>
        <v>0</v>
      </c>
      <c r="H226" s="33" t="n">
        <f aca="false">IF(D226&lt;=0,0,MIN(SUMIF('Loan Details'!$G$6:$G$20,A226,'Loan Details'!$H$6:$H$20),D226-G226))</f>
        <v>0</v>
      </c>
      <c r="I226" s="33" t="n">
        <f aca="false">MAX(0,D226-G226-H226)</f>
        <v>0</v>
      </c>
      <c r="J226" s="33" t="n">
        <f aca="false">IF(D226&lt;=0,0,IF(AND('Loan Details'!$B$10="Keep tenure, change EMI",OR(C226&lt;&gt;C225,H225&gt;0)),ROUND(PMT(C226/12,MAX(1,'Loan Details'!$B$8-A226+1),-D226),0),J225))</f>
        <v>0</v>
      </c>
    </row>
    <row r="227" customFormat="false" ht="15" hidden="false" customHeight="true" outlineLevel="0" collapsed="false">
      <c r="A227" s="24" t="n">
        <f aca="false">223</f>
        <v>223</v>
      </c>
      <c r="B227" s="32" t="n">
        <f aca="false">EDATE('Loan Details'!$B$9,222)</f>
        <v>52906</v>
      </c>
      <c r="C227" s="25" t="n">
        <f aca="false">LOOKUP(A227,'Loan Details'!$J$6:$J$14,'Loan Details'!$K$6:$K$14)</f>
        <v>0.0825</v>
      </c>
      <c r="D227" s="33" t="n">
        <f aca="false">I226</f>
        <v>0</v>
      </c>
      <c r="E227" s="33" t="n">
        <f aca="false">IF(D227&lt;=0,0,MIN(J227,D227+F227))</f>
        <v>0</v>
      </c>
      <c r="F227" s="33" t="n">
        <f aca="false">IF(D227&lt;=0,0,ROUND(D227*C227/12,0))</f>
        <v>0</v>
      </c>
      <c r="G227" s="33" t="n">
        <f aca="false">E227-F227</f>
        <v>0</v>
      </c>
      <c r="H227" s="33" t="n">
        <f aca="false">IF(D227&lt;=0,0,MIN(SUMIF('Loan Details'!$G$6:$G$20,A227,'Loan Details'!$H$6:$H$20),D227-G227))</f>
        <v>0</v>
      </c>
      <c r="I227" s="33" t="n">
        <f aca="false">MAX(0,D227-G227-H227)</f>
        <v>0</v>
      </c>
      <c r="J227" s="33" t="n">
        <f aca="false">IF(D227&lt;=0,0,IF(AND('Loan Details'!$B$10="Keep tenure, change EMI",OR(C227&lt;&gt;C226,H226&gt;0)),ROUND(PMT(C227/12,MAX(1,'Loan Details'!$B$8-A227+1),-D227),0),J226))</f>
        <v>0</v>
      </c>
    </row>
    <row r="228" customFormat="false" ht="15" hidden="false" customHeight="true" outlineLevel="0" collapsed="false">
      <c r="A228" s="24" t="n">
        <f aca="false">224</f>
        <v>224</v>
      </c>
      <c r="B228" s="32" t="n">
        <f aca="false">EDATE('Loan Details'!$B$9,223)</f>
        <v>52936</v>
      </c>
      <c r="C228" s="25" t="n">
        <f aca="false">LOOKUP(A228,'Loan Details'!$J$6:$J$14,'Loan Details'!$K$6:$K$14)</f>
        <v>0.0825</v>
      </c>
      <c r="D228" s="33" t="n">
        <f aca="false">I227</f>
        <v>0</v>
      </c>
      <c r="E228" s="33" t="n">
        <f aca="false">IF(D228&lt;=0,0,MIN(J228,D228+F228))</f>
        <v>0</v>
      </c>
      <c r="F228" s="33" t="n">
        <f aca="false">IF(D228&lt;=0,0,ROUND(D228*C228/12,0))</f>
        <v>0</v>
      </c>
      <c r="G228" s="33" t="n">
        <f aca="false">E228-F228</f>
        <v>0</v>
      </c>
      <c r="H228" s="33" t="n">
        <f aca="false">IF(D228&lt;=0,0,MIN(SUMIF('Loan Details'!$G$6:$G$20,A228,'Loan Details'!$H$6:$H$20),D228-G228))</f>
        <v>0</v>
      </c>
      <c r="I228" s="33" t="n">
        <f aca="false">MAX(0,D228-G228-H228)</f>
        <v>0</v>
      </c>
      <c r="J228" s="33" t="n">
        <f aca="false">IF(D228&lt;=0,0,IF(AND('Loan Details'!$B$10="Keep tenure, change EMI",OR(C228&lt;&gt;C227,H227&gt;0)),ROUND(PMT(C228/12,MAX(1,'Loan Details'!$B$8-A228+1),-D228),0),J227))</f>
        <v>0</v>
      </c>
    </row>
    <row r="229" customFormat="false" ht="15" hidden="false" customHeight="true" outlineLevel="0" collapsed="false">
      <c r="A229" s="24" t="n">
        <f aca="false">225</f>
        <v>225</v>
      </c>
      <c r="B229" s="32" t="n">
        <f aca="false">EDATE('Loan Details'!$B$9,224)</f>
        <v>52967</v>
      </c>
      <c r="C229" s="25" t="n">
        <f aca="false">LOOKUP(A229,'Loan Details'!$J$6:$J$14,'Loan Details'!$K$6:$K$14)</f>
        <v>0.0825</v>
      </c>
      <c r="D229" s="33" t="n">
        <f aca="false">I228</f>
        <v>0</v>
      </c>
      <c r="E229" s="33" t="n">
        <f aca="false">IF(D229&lt;=0,0,MIN(J229,D229+F229))</f>
        <v>0</v>
      </c>
      <c r="F229" s="33" t="n">
        <f aca="false">IF(D229&lt;=0,0,ROUND(D229*C229/12,0))</f>
        <v>0</v>
      </c>
      <c r="G229" s="33" t="n">
        <f aca="false">E229-F229</f>
        <v>0</v>
      </c>
      <c r="H229" s="33" t="n">
        <f aca="false">IF(D229&lt;=0,0,MIN(SUMIF('Loan Details'!$G$6:$G$20,A229,'Loan Details'!$H$6:$H$20),D229-G229))</f>
        <v>0</v>
      </c>
      <c r="I229" s="33" t="n">
        <f aca="false">MAX(0,D229-G229-H229)</f>
        <v>0</v>
      </c>
      <c r="J229" s="33" t="n">
        <f aca="false">IF(D229&lt;=0,0,IF(AND('Loan Details'!$B$10="Keep tenure, change EMI",OR(C229&lt;&gt;C228,H228&gt;0)),ROUND(PMT(C229/12,MAX(1,'Loan Details'!$B$8-A229+1),-D229),0),J228))</f>
        <v>0</v>
      </c>
    </row>
    <row r="230" customFormat="false" ht="15" hidden="false" customHeight="true" outlineLevel="0" collapsed="false">
      <c r="A230" s="24" t="n">
        <f aca="false">226</f>
        <v>226</v>
      </c>
      <c r="B230" s="32" t="n">
        <f aca="false">EDATE('Loan Details'!$B$9,225)</f>
        <v>52998</v>
      </c>
      <c r="C230" s="25" t="n">
        <f aca="false">LOOKUP(A230,'Loan Details'!$J$6:$J$14,'Loan Details'!$K$6:$K$14)</f>
        <v>0.0825</v>
      </c>
      <c r="D230" s="33" t="n">
        <f aca="false">I229</f>
        <v>0</v>
      </c>
      <c r="E230" s="33" t="n">
        <f aca="false">IF(D230&lt;=0,0,MIN(J230,D230+F230))</f>
        <v>0</v>
      </c>
      <c r="F230" s="33" t="n">
        <f aca="false">IF(D230&lt;=0,0,ROUND(D230*C230/12,0))</f>
        <v>0</v>
      </c>
      <c r="G230" s="33" t="n">
        <f aca="false">E230-F230</f>
        <v>0</v>
      </c>
      <c r="H230" s="33" t="n">
        <f aca="false">IF(D230&lt;=0,0,MIN(SUMIF('Loan Details'!$G$6:$G$20,A230,'Loan Details'!$H$6:$H$20),D230-G230))</f>
        <v>0</v>
      </c>
      <c r="I230" s="33" t="n">
        <f aca="false">MAX(0,D230-G230-H230)</f>
        <v>0</v>
      </c>
      <c r="J230" s="33" t="n">
        <f aca="false">IF(D230&lt;=0,0,IF(AND('Loan Details'!$B$10="Keep tenure, change EMI",OR(C230&lt;&gt;C229,H229&gt;0)),ROUND(PMT(C230/12,MAX(1,'Loan Details'!$B$8-A230+1),-D230),0),J229))</f>
        <v>0</v>
      </c>
    </row>
    <row r="231" customFormat="false" ht="15" hidden="false" customHeight="true" outlineLevel="0" collapsed="false">
      <c r="A231" s="24" t="n">
        <f aca="false">227</f>
        <v>227</v>
      </c>
      <c r="B231" s="32" t="n">
        <f aca="false">EDATE('Loan Details'!$B$9,226)</f>
        <v>53026</v>
      </c>
      <c r="C231" s="25" t="n">
        <f aca="false">LOOKUP(A231,'Loan Details'!$J$6:$J$14,'Loan Details'!$K$6:$K$14)</f>
        <v>0.0825</v>
      </c>
      <c r="D231" s="33" t="n">
        <f aca="false">I230</f>
        <v>0</v>
      </c>
      <c r="E231" s="33" t="n">
        <f aca="false">IF(D231&lt;=0,0,MIN(J231,D231+F231))</f>
        <v>0</v>
      </c>
      <c r="F231" s="33" t="n">
        <f aca="false">IF(D231&lt;=0,0,ROUND(D231*C231/12,0))</f>
        <v>0</v>
      </c>
      <c r="G231" s="33" t="n">
        <f aca="false">E231-F231</f>
        <v>0</v>
      </c>
      <c r="H231" s="33" t="n">
        <f aca="false">IF(D231&lt;=0,0,MIN(SUMIF('Loan Details'!$G$6:$G$20,A231,'Loan Details'!$H$6:$H$20),D231-G231))</f>
        <v>0</v>
      </c>
      <c r="I231" s="33" t="n">
        <f aca="false">MAX(0,D231-G231-H231)</f>
        <v>0</v>
      </c>
      <c r="J231" s="33" t="n">
        <f aca="false">IF(D231&lt;=0,0,IF(AND('Loan Details'!$B$10="Keep tenure, change EMI",OR(C231&lt;&gt;C230,H230&gt;0)),ROUND(PMT(C231/12,MAX(1,'Loan Details'!$B$8-A231+1),-D231),0),J230))</f>
        <v>0</v>
      </c>
    </row>
    <row r="232" customFormat="false" ht="15" hidden="false" customHeight="true" outlineLevel="0" collapsed="false">
      <c r="A232" s="24" t="n">
        <f aca="false">228</f>
        <v>228</v>
      </c>
      <c r="B232" s="32" t="n">
        <f aca="false">EDATE('Loan Details'!$B$9,227)</f>
        <v>53057</v>
      </c>
      <c r="C232" s="25" t="n">
        <f aca="false">LOOKUP(A232,'Loan Details'!$J$6:$J$14,'Loan Details'!$K$6:$K$14)</f>
        <v>0.0825</v>
      </c>
      <c r="D232" s="33" t="n">
        <f aca="false">I231</f>
        <v>0</v>
      </c>
      <c r="E232" s="33" t="n">
        <f aca="false">IF(D232&lt;=0,0,MIN(J232,D232+F232))</f>
        <v>0</v>
      </c>
      <c r="F232" s="33" t="n">
        <f aca="false">IF(D232&lt;=0,0,ROUND(D232*C232/12,0))</f>
        <v>0</v>
      </c>
      <c r="G232" s="33" t="n">
        <f aca="false">E232-F232</f>
        <v>0</v>
      </c>
      <c r="H232" s="33" t="n">
        <f aca="false">IF(D232&lt;=0,0,MIN(SUMIF('Loan Details'!$G$6:$G$20,A232,'Loan Details'!$H$6:$H$20),D232-G232))</f>
        <v>0</v>
      </c>
      <c r="I232" s="33" t="n">
        <f aca="false">MAX(0,D232-G232-H232)</f>
        <v>0</v>
      </c>
      <c r="J232" s="33" t="n">
        <f aca="false">IF(D232&lt;=0,0,IF(AND('Loan Details'!$B$10="Keep tenure, change EMI",OR(C232&lt;&gt;C231,H231&gt;0)),ROUND(PMT(C232/12,MAX(1,'Loan Details'!$B$8-A232+1),-D232),0),J231))</f>
        <v>0</v>
      </c>
    </row>
    <row r="233" customFormat="false" ht="15" hidden="false" customHeight="true" outlineLevel="0" collapsed="false">
      <c r="A233" s="24" t="n">
        <f aca="false">229</f>
        <v>229</v>
      </c>
      <c r="B233" s="32" t="n">
        <f aca="false">EDATE('Loan Details'!$B$9,228)</f>
        <v>53087</v>
      </c>
      <c r="C233" s="25" t="n">
        <f aca="false">LOOKUP(A233,'Loan Details'!$J$6:$J$14,'Loan Details'!$K$6:$K$14)</f>
        <v>0.0825</v>
      </c>
      <c r="D233" s="33" t="n">
        <f aca="false">I232</f>
        <v>0</v>
      </c>
      <c r="E233" s="33" t="n">
        <f aca="false">IF(D233&lt;=0,0,MIN(J233,D233+F233))</f>
        <v>0</v>
      </c>
      <c r="F233" s="33" t="n">
        <f aca="false">IF(D233&lt;=0,0,ROUND(D233*C233/12,0))</f>
        <v>0</v>
      </c>
      <c r="G233" s="33" t="n">
        <f aca="false">E233-F233</f>
        <v>0</v>
      </c>
      <c r="H233" s="33" t="n">
        <f aca="false">IF(D233&lt;=0,0,MIN(SUMIF('Loan Details'!$G$6:$G$20,A233,'Loan Details'!$H$6:$H$20),D233-G233))</f>
        <v>0</v>
      </c>
      <c r="I233" s="33" t="n">
        <f aca="false">MAX(0,D233-G233-H233)</f>
        <v>0</v>
      </c>
      <c r="J233" s="33" t="n">
        <f aca="false">IF(D233&lt;=0,0,IF(AND('Loan Details'!$B$10="Keep tenure, change EMI",OR(C233&lt;&gt;C232,H232&gt;0)),ROUND(PMT(C233/12,MAX(1,'Loan Details'!$B$8-A233+1),-D233),0),J232))</f>
        <v>0</v>
      </c>
    </row>
    <row r="234" customFormat="false" ht="15" hidden="false" customHeight="true" outlineLevel="0" collapsed="false">
      <c r="A234" s="24" t="n">
        <f aca="false">230</f>
        <v>230</v>
      </c>
      <c r="B234" s="32" t="n">
        <f aca="false">EDATE('Loan Details'!$B$9,229)</f>
        <v>53118</v>
      </c>
      <c r="C234" s="25" t="n">
        <f aca="false">LOOKUP(A234,'Loan Details'!$J$6:$J$14,'Loan Details'!$K$6:$K$14)</f>
        <v>0.0825</v>
      </c>
      <c r="D234" s="33" t="n">
        <f aca="false">I233</f>
        <v>0</v>
      </c>
      <c r="E234" s="33" t="n">
        <f aca="false">IF(D234&lt;=0,0,MIN(J234,D234+F234))</f>
        <v>0</v>
      </c>
      <c r="F234" s="33" t="n">
        <f aca="false">IF(D234&lt;=0,0,ROUND(D234*C234/12,0))</f>
        <v>0</v>
      </c>
      <c r="G234" s="33" t="n">
        <f aca="false">E234-F234</f>
        <v>0</v>
      </c>
      <c r="H234" s="33" t="n">
        <f aca="false">IF(D234&lt;=0,0,MIN(SUMIF('Loan Details'!$G$6:$G$20,A234,'Loan Details'!$H$6:$H$20),D234-G234))</f>
        <v>0</v>
      </c>
      <c r="I234" s="33" t="n">
        <f aca="false">MAX(0,D234-G234-H234)</f>
        <v>0</v>
      </c>
      <c r="J234" s="33" t="n">
        <f aca="false">IF(D234&lt;=0,0,IF(AND('Loan Details'!$B$10="Keep tenure, change EMI",OR(C234&lt;&gt;C233,H233&gt;0)),ROUND(PMT(C234/12,MAX(1,'Loan Details'!$B$8-A234+1),-D234),0),J233))</f>
        <v>0</v>
      </c>
    </row>
    <row r="235" customFormat="false" ht="15" hidden="false" customHeight="true" outlineLevel="0" collapsed="false">
      <c r="A235" s="24" t="n">
        <f aca="false">231</f>
        <v>231</v>
      </c>
      <c r="B235" s="32" t="n">
        <f aca="false">EDATE('Loan Details'!$B$9,230)</f>
        <v>53148</v>
      </c>
      <c r="C235" s="25" t="n">
        <f aca="false">LOOKUP(A235,'Loan Details'!$J$6:$J$14,'Loan Details'!$K$6:$K$14)</f>
        <v>0.0825</v>
      </c>
      <c r="D235" s="33" t="n">
        <f aca="false">I234</f>
        <v>0</v>
      </c>
      <c r="E235" s="33" t="n">
        <f aca="false">IF(D235&lt;=0,0,MIN(J235,D235+F235))</f>
        <v>0</v>
      </c>
      <c r="F235" s="33" t="n">
        <f aca="false">IF(D235&lt;=0,0,ROUND(D235*C235/12,0))</f>
        <v>0</v>
      </c>
      <c r="G235" s="33" t="n">
        <f aca="false">E235-F235</f>
        <v>0</v>
      </c>
      <c r="H235" s="33" t="n">
        <f aca="false">IF(D235&lt;=0,0,MIN(SUMIF('Loan Details'!$G$6:$G$20,A235,'Loan Details'!$H$6:$H$20),D235-G235))</f>
        <v>0</v>
      </c>
      <c r="I235" s="33" t="n">
        <f aca="false">MAX(0,D235-G235-H235)</f>
        <v>0</v>
      </c>
      <c r="J235" s="33" t="n">
        <f aca="false">IF(D235&lt;=0,0,IF(AND('Loan Details'!$B$10="Keep tenure, change EMI",OR(C235&lt;&gt;C234,H234&gt;0)),ROUND(PMT(C235/12,MAX(1,'Loan Details'!$B$8-A235+1),-D235),0),J234))</f>
        <v>0</v>
      </c>
    </row>
    <row r="236" customFormat="false" ht="15" hidden="false" customHeight="true" outlineLevel="0" collapsed="false">
      <c r="A236" s="24" t="n">
        <f aca="false">232</f>
        <v>232</v>
      </c>
      <c r="B236" s="32" t="n">
        <f aca="false">EDATE('Loan Details'!$B$9,231)</f>
        <v>53179</v>
      </c>
      <c r="C236" s="25" t="n">
        <f aca="false">LOOKUP(A236,'Loan Details'!$J$6:$J$14,'Loan Details'!$K$6:$K$14)</f>
        <v>0.0825</v>
      </c>
      <c r="D236" s="33" t="n">
        <f aca="false">I235</f>
        <v>0</v>
      </c>
      <c r="E236" s="33" t="n">
        <f aca="false">IF(D236&lt;=0,0,MIN(J236,D236+F236))</f>
        <v>0</v>
      </c>
      <c r="F236" s="33" t="n">
        <f aca="false">IF(D236&lt;=0,0,ROUND(D236*C236/12,0))</f>
        <v>0</v>
      </c>
      <c r="G236" s="33" t="n">
        <f aca="false">E236-F236</f>
        <v>0</v>
      </c>
      <c r="H236" s="33" t="n">
        <f aca="false">IF(D236&lt;=0,0,MIN(SUMIF('Loan Details'!$G$6:$G$20,A236,'Loan Details'!$H$6:$H$20),D236-G236))</f>
        <v>0</v>
      </c>
      <c r="I236" s="33" t="n">
        <f aca="false">MAX(0,D236-G236-H236)</f>
        <v>0</v>
      </c>
      <c r="J236" s="33" t="n">
        <f aca="false">IF(D236&lt;=0,0,IF(AND('Loan Details'!$B$10="Keep tenure, change EMI",OR(C236&lt;&gt;C235,H235&gt;0)),ROUND(PMT(C236/12,MAX(1,'Loan Details'!$B$8-A236+1),-D236),0),J235))</f>
        <v>0</v>
      </c>
    </row>
    <row r="237" customFormat="false" ht="15" hidden="false" customHeight="true" outlineLevel="0" collapsed="false">
      <c r="A237" s="24" t="n">
        <f aca="false">233</f>
        <v>233</v>
      </c>
      <c r="B237" s="32" t="n">
        <f aca="false">EDATE('Loan Details'!$B$9,232)</f>
        <v>53210</v>
      </c>
      <c r="C237" s="25" t="n">
        <f aca="false">LOOKUP(A237,'Loan Details'!$J$6:$J$14,'Loan Details'!$K$6:$K$14)</f>
        <v>0.0825</v>
      </c>
      <c r="D237" s="33" t="n">
        <f aca="false">I236</f>
        <v>0</v>
      </c>
      <c r="E237" s="33" t="n">
        <f aca="false">IF(D237&lt;=0,0,MIN(J237,D237+F237))</f>
        <v>0</v>
      </c>
      <c r="F237" s="33" t="n">
        <f aca="false">IF(D237&lt;=0,0,ROUND(D237*C237/12,0))</f>
        <v>0</v>
      </c>
      <c r="G237" s="33" t="n">
        <f aca="false">E237-F237</f>
        <v>0</v>
      </c>
      <c r="H237" s="33" t="n">
        <f aca="false">IF(D237&lt;=0,0,MIN(SUMIF('Loan Details'!$G$6:$G$20,A237,'Loan Details'!$H$6:$H$20),D237-G237))</f>
        <v>0</v>
      </c>
      <c r="I237" s="33" t="n">
        <f aca="false">MAX(0,D237-G237-H237)</f>
        <v>0</v>
      </c>
      <c r="J237" s="33" t="n">
        <f aca="false">IF(D237&lt;=0,0,IF(AND('Loan Details'!$B$10="Keep tenure, change EMI",OR(C237&lt;&gt;C236,H236&gt;0)),ROUND(PMT(C237/12,MAX(1,'Loan Details'!$B$8-A237+1),-D237),0),J236))</f>
        <v>0</v>
      </c>
    </row>
    <row r="238" customFormat="false" ht="15" hidden="false" customHeight="true" outlineLevel="0" collapsed="false">
      <c r="A238" s="24" t="n">
        <f aca="false">234</f>
        <v>234</v>
      </c>
      <c r="B238" s="32" t="n">
        <f aca="false">EDATE('Loan Details'!$B$9,233)</f>
        <v>53240</v>
      </c>
      <c r="C238" s="25" t="n">
        <f aca="false">LOOKUP(A238,'Loan Details'!$J$6:$J$14,'Loan Details'!$K$6:$K$14)</f>
        <v>0.0825</v>
      </c>
      <c r="D238" s="33" t="n">
        <f aca="false">I237</f>
        <v>0</v>
      </c>
      <c r="E238" s="33" t="n">
        <f aca="false">IF(D238&lt;=0,0,MIN(J238,D238+F238))</f>
        <v>0</v>
      </c>
      <c r="F238" s="33" t="n">
        <f aca="false">IF(D238&lt;=0,0,ROUND(D238*C238/12,0))</f>
        <v>0</v>
      </c>
      <c r="G238" s="33" t="n">
        <f aca="false">E238-F238</f>
        <v>0</v>
      </c>
      <c r="H238" s="33" t="n">
        <f aca="false">IF(D238&lt;=0,0,MIN(SUMIF('Loan Details'!$G$6:$G$20,A238,'Loan Details'!$H$6:$H$20),D238-G238))</f>
        <v>0</v>
      </c>
      <c r="I238" s="33" t="n">
        <f aca="false">MAX(0,D238-G238-H238)</f>
        <v>0</v>
      </c>
      <c r="J238" s="33" t="n">
        <f aca="false">IF(D238&lt;=0,0,IF(AND('Loan Details'!$B$10="Keep tenure, change EMI",OR(C238&lt;&gt;C237,H237&gt;0)),ROUND(PMT(C238/12,MAX(1,'Loan Details'!$B$8-A238+1),-D238),0),J237))</f>
        <v>0</v>
      </c>
    </row>
    <row r="239" customFormat="false" ht="15" hidden="false" customHeight="true" outlineLevel="0" collapsed="false">
      <c r="A239" s="24" t="n">
        <f aca="false">235</f>
        <v>235</v>
      </c>
      <c r="B239" s="32" t="n">
        <f aca="false">EDATE('Loan Details'!$B$9,234)</f>
        <v>53271</v>
      </c>
      <c r="C239" s="25" t="n">
        <f aca="false">LOOKUP(A239,'Loan Details'!$J$6:$J$14,'Loan Details'!$K$6:$K$14)</f>
        <v>0.0825</v>
      </c>
      <c r="D239" s="33" t="n">
        <f aca="false">I238</f>
        <v>0</v>
      </c>
      <c r="E239" s="33" t="n">
        <f aca="false">IF(D239&lt;=0,0,MIN(J239,D239+F239))</f>
        <v>0</v>
      </c>
      <c r="F239" s="33" t="n">
        <f aca="false">IF(D239&lt;=0,0,ROUND(D239*C239/12,0))</f>
        <v>0</v>
      </c>
      <c r="G239" s="33" t="n">
        <f aca="false">E239-F239</f>
        <v>0</v>
      </c>
      <c r="H239" s="33" t="n">
        <f aca="false">IF(D239&lt;=0,0,MIN(SUMIF('Loan Details'!$G$6:$G$20,A239,'Loan Details'!$H$6:$H$20),D239-G239))</f>
        <v>0</v>
      </c>
      <c r="I239" s="33" t="n">
        <f aca="false">MAX(0,D239-G239-H239)</f>
        <v>0</v>
      </c>
      <c r="J239" s="33" t="n">
        <f aca="false">IF(D239&lt;=0,0,IF(AND('Loan Details'!$B$10="Keep tenure, change EMI",OR(C239&lt;&gt;C238,H238&gt;0)),ROUND(PMT(C239/12,MAX(1,'Loan Details'!$B$8-A239+1),-D239),0),J238))</f>
        <v>0</v>
      </c>
    </row>
    <row r="240" customFormat="false" ht="15" hidden="false" customHeight="true" outlineLevel="0" collapsed="false">
      <c r="A240" s="24" t="n">
        <f aca="false">236</f>
        <v>236</v>
      </c>
      <c r="B240" s="32" t="n">
        <f aca="false">EDATE('Loan Details'!$B$9,235)</f>
        <v>53301</v>
      </c>
      <c r="C240" s="25" t="n">
        <f aca="false">LOOKUP(A240,'Loan Details'!$J$6:$J$14,'Loan Details'!$K$6:$K$14)</f>
        <v>0.0825</v>
      </c>
      <c r="D240" s="33" t="n">
        <f aca="false">I239</f>
        <v>0</v>
      </c>
      <c r="E240" s="33" t="n">
        <f aca="false">IF(D240&lt;=0,0,MIN(J240,D240+F240))</f>
        <v>0</v>
      </c>
      <c r="F240" s="33" t="n">
        <f aca="false">IF(D240&lt;=0,0,ROUND(D240*C240/12,0))</f>
        <v>0</v>
      </c>
      <c r="G240" s="33" t="n">
        <f aca="false">E240-F240</f>
        <v>0</v>
      </c>
      <c r="H240" s="33" t="n">
        <f aca="false">IF(D240&lt;=0,0,MIN(SUMIF('Loan Details'!$G$6:$G$20,A240,'Loan Details'!$H$6:$H$20),D240-G240))</f>
        <v>0</v>
      </c>
      <c r="I240" s="33" t="n">
        <f aca="false">MAX(0,D240-G240-H240)</f>
        <v>0</v>
      </c>
      <c r="J240" s="33" t="n">
        <f aca="false">IF(D240&lt;=0,0,IF(AND('Loan Details'!$B$10="Keep tenure, change EMI",OR(C240&lt;&gt;C239,H239&gt;0)),ROUND(PMT(C240/12,MAX(1,'Loan Details'!$B$8-A240+1),-D240),0),J239))</f>
        <v>0</v>
      </c>
    </row>
    <row r="241" customFormat="false" ht="15" hidden="false" customHeight="true" outlineLevel="0" collapsed="false">
      <c r="A241" s="24" t="n">
        <f aca="false">237</f>
        <v>237</v>
      </c>
      <c r="B241" s="32" t="n">
        <f aca="false">EDATE('Loan Details'!$B$9,236)</f>
        <v>53332</v>
      </c>
      <c r="C241" s="25" t="n">
        <f aca="false">LOOKUP(A241,'Loan Details'!$J$6:$J$14,'Loan Details'!$K$6:$K$14)</f>
        <v>0.0825</v>
      </c>
      <c r="D241" s="33" t="n">
        <f aca="false">I240</f>
        <v>0</v>
      </c>
      <c r="E241" s="33" t="n">
        <f aca="false">IF(D241&lt;=0,0,MIN(J241,D241+F241))</f>
        <v>0</v>
      </c>
      <c r="F241" s="33" t="n">
        <f aca="false">IF(D241&lt;=0,0,ROUND(D241*C241/12,0))</f>
        <v>0</v>
      </c>
      <c r="G241" s="33" t="n">
        <f aca="false">E241-F241</f>
        <v>0</v>
      </c>
      <c r="H241" s="33" t="n">
        <f aca="false">IF(D241&lt;=0,0,MIN(SUMIF('Loan Details'!$G$6:$G$20,A241,'Loan Details'!$H$6:$H$20),D241-G241))</f>
        <v>0</v>
      </c>
      <c r="I241" s="33" t="n">
        <f aca="false">MAX(0,D241-G241-H241)</f>
        <v>0</v>
      </c>
      <c r="J241" s="33" t="n">
        <f aca="false">IF(D241&lt;=0,0,IF(AND('Loan Details'!$B$10="Keep tenure, change EMI",OR(C241&lt;&gt;C240,H240&gt;0)),ROUND(PMT(C241/12,MAX(1,'Loan Details'!$B$8-A241+1),-D241),0),J240))</f>
        <v>0</v>
      </c>
    </row>
    <row r="242" customFormat="false" ht="15" hidden="false" customHeight="true" outlineLevel="0" collapsed="false">
      <c r="A242" s="24" t="n">
        <f aca="false">238</f>
        <v>238</v>
      </c>
      <c r="B242" s="32" t="n">
        <f aca="false">EDATE('Loan Details'!$B$9,237)</f>
        <v>53363</v>
      </c>
      <c r="C242" s="25" t="n">
        <f aca="false">LOOKUP(A242,'Loan Details'!$J$6:$J$14,'Loan Details'!$K$6:$K$14)</f>
        <v>0.0825</v>
      </c>
      <c r="D242" s="33" t="n">
        <f aca="false">I241</f>
        <v>0</v>
      </c>
      <c r="E242" s="33" t="n">
        <f aca="false">IF(D242&lt;=0,0,MIN(J242,D242+F242))</f>
        <v>0</v>
      </c>
      <c r="F242" s="33" t="n">
        <f aca="false">IF(D242&lt;=0,0,ROUND(D242*C242/12,0))</f>
        <v>0</v>
      </c>
      <c r="G242" s="33" t="n">
        <f aca="false">E242-F242</f>
        <v>0</v>
      </c>
      <c r="H242" s="33" t="n">
        <f aca="false">IF(D242&lt;=0,0,MIN(SUMIF('Loan Details'!$G$6:$G$20,A242,'Loan Details'!$H$6:$H$20),D242-G242))</f>
        <v>0</v>
      </c>
      <c r="I242" s="33" t="n">
        <f aca="false">MAX(0,D242-G242-H242)</f>
        <v>0</v>
      </c>
      <c r="J242" s="33" t="n">
        <f aca="false">IF(D242&lt;=0,0,IF(AND('Loan Details'!$B$10="Keep tenure, change EMI",OR(C242&lt;&gt;C241,H241&gt;0)),ROUND(PMT(C242/12,MAX(1,'Loan Details'!$B$8-A242+1),-D242),0),J241))</f>
        <v>0</v>
      </c>
    </row>
    <row r="243" customFormat="false" ht="15" hidden="false" customHeight="true" outlineLevel="0" collapsed="false">
      <c r="A243" s="24" t="n">
        <f aca="false">239</f>
        <v>239</v>
      </c>
      <c r="B243" s="32" t="n">
        <f aca="false">EDATE('Loan Details'!$B$9,238)</f>
        <v>53391</v>
      </c>
      <c r="C243" s="25" t="n">
        <f aca="false">LOOKUP(A243,'Loan Details'!$J$6:$J$14,'Loan Details'!$K$6:$K$14)</f>
        <v>0.0825</v>
      </c>
      <c r="D243" s="33" t="n">
        <f aca="false">I242</f>
        <v>0</v>
      </c>
      <c r="E243" s="33" t="n">
        <f aca="false">IF(D243&lt;=0,0,MIN(J243,D243+F243))</f>
        <v>0</v>
      </c>
      <c r="F243" s="33" t="n">
        <f aca="false">IF(D243&lt;=0,0,ROUND(D243*C243/12,0))</f>
        <v>0</v>
      </c>
      <c r="G243" s="33" t="n">
        <f aca="false">E243-F243</f>
        <v>0</v>
      </c>
      <c r="H243" s="33" t="n">
        <f aca="false">IF(D243&lt;=0,0,MIN(SUMIF('Loan Details'!$G$6:$G$20,A243,'Loan Details'!$H$6:$H$20),D243-G243))</f>
        <v>0</v>
      </c>
      <c r="I243" s="33" t="n">
        <f aca="false">MAX(0,D243-G243-H243)</f>
        <v>0</v>
      </c>
      <c r="J243" s="33" t="n">
        <f aca="false">IF(D243&lt;=0,0,IF(AND('Loan Details'!$B$10="Keep tenure, change EMI",OR(C243&lt;&gt;C242,H242&gt;0)),ROUND(PMT(C243/12,MAX(1,'Loan Details'!$B$8-A243+1),-D243),0),J242))</f>
        <v>0</v>
      </c>
    </row>
    <row r="244" customFormat="false" ht="15" hidden="false" customHeight="true" outlineLevel="0" collapsed="false">
      <c r="A244" s="24" t="n">
        <f aca="false">240</f>
        <v>240</v>
      </c>
      <c r="B244" s="32" t="n">
        <f aca="false">EDATE('Loan Details'!$B$9,239)</f>
        <v>53422</v>
      </c>
      <c r="C244" s="25" t="n">
        <f aca="false">LOOKUP(A244,'Loan Details'!$J$6:$J$14,'Loan Details'!$K$6:$K$14)</f>
        <v>0.0825</v>
      </c>
      <c r="D244" s="33" t="n">
        <f aca="false">I243</f>
        <v>0</v>
      </c>
      <c r="E244" s="33" t="n">
        <f aca="false">IF(D244&lt;=0,0,MIN(J244,D244+F244))</f>
        <v>0</v>
      </c>
      <c r="F244" s="33" t="n">
        <f aca="false">IF(D244&lt;=0,0,ROUND(D244*C244/12,0))</f>
        <v>0</v>
      </c>
      <c r="G244" s="33" t="n">
        <f aca="false">E244-F244</f>
        <v>0</v>
      </c>
      <c r="H244" s="33" t="n">
        <f aca="false">IF(D244&lt;=0,0,MIN(SUMIF('Loan Details'!$G$6:$G$20,A244,'Loan Details'!$H$6:$H$20),D244-G244))</f>
        <v>0</v>
      </c>
      <c r="I244" s="33" t="n">
        <f aca="false">MAX(0,D244-G244-H244)</f>
        <v>0</v>
      </c>
      <c r="J244" s="33" t="n">
        <f aca="false">IF(D244&lt;=0,0,IF(AND('Loan Details'!$B$10="Keep tenure, change EMI",OR(C244&lt;&gt;C243,H243&gt;0)),ROUND(PMT(C244/12,MAX(1,'Loan Details'!$B$8-A244+1),-D244),0),J243))</f>
        <v>0</v>
      </c>
    </row>
    <row r="245" customFormat="false" ht="15" hidden="false" customHeight="true" outlineLevel="0" collapsed="false">
      <c r="A245" s="24" t="n">
        <f aca="false">241</f>
        <v>241</v>
      </c>
      <c r="B245" s="32" t="n">
        <f aca="false">EDATE('Loan Details'!$B$9,240)</f>
        <v>53452</v>
      </c>
      <c r="C245" s="25" t="n">
        <f aca="false">LOOKUP(A245,'Loan Details'!$J$6:$J$14,'Loan Details'!$K$6:$K$14)</f>
        <v>0.0825</v>
      </c>
      <c r="D245" s="33" t="n">
        <f aca="false">I244</f>
        <v>0</v>
      </c>
      <c r="E245" s="33" t="n">
        <f aca="false">IF(D245&lt;=0,0,MIN(J245,D245+F245))</f>
        <v>0</v>
      </c>
      <c r="F245" s="33" t="n">
        <f aca="false">IF(D245&lt;=0,0,ROUND(D245*C245/12,0))</f>
        <v>0</v>
      </c>
      <c r="G245" s="33" t="n">
        <f aca="false">E245-F245</f>
        <v>0</v>
      </c>
      <c r="H245" s="33" t="n">
        <f aca="false">IF(D245&lt;=0,0,MIN(SUMIF('Loan Details'!$G$6:$G$20,A245,'Loan Details'!$H$6:$H$20),D245-G245))</f>
        <v>0</v>
      </c>
      <c r="I245" s="33" t="n">
        <f aca="false">MAX(0,D245-G245-H245)</f>
        <v>0</v>
      </c>
      <c r="J245" s="33" t="n">
        <f aca="false">IF(D245&lt;=0,0,IF(AND('Loan Details'!$B$10="Keep tenure, change EMI",OR(C245&lt;&gt;C244,H244&gt;0)),ROUND(PMT(C245/12,MAX(1,'Loan Details'!$B$8-A245+1),-D245),0),J244))</f>
        <v>0</v>
      </c>
    </row>
    <row r="246" customFormat="false" ht="15" hidden="false" customHeight="true" outlineLevel="0" collapsed="false">
      <c r="A246" s="24" t="n">
        <f aca="false">242</f>
        <v>242</v>
      </c>
      <c r="B246" s="32" t="n">
        <f aca="false">EDATE('Loan Details'!$B$9,241)</f>
        <v>53483</v>
      </c>
      <c r="C246" s="25" t="n">
        <f aca="false">LOOKUP(A246,'Loan Details'!$J$6:$J$14,'Loan Details'!$K$6:$K$14)</f>
        <v>0.0825</v>
      </c>
      <c r="D246" s="33" t="n">
        <f aca="false">I245</f>
        <v>0</v>
      </c>
      <c r="E246" s="33" t="n">
        <f aca="false">IF(D246&lt;=0,0,MIN(J246,D246+F246))</f>
        <v>0</v>
      </c>
      <c r="F246" s="33" t="n">
        <f aca="false">IF(D246&lt;=0,0,ROUND(D246*C246/12,0))</f>
        <v>0</v>
      </c>
      <c r="G246" s="33" t="n">
        <f aca="false">E246-F246</f>
        <v>0</v>
      </c>
      <c r="H246" s="33" t="n">
        <f aca="false">IF(D246&lt;=0,0,MIN(SUMIF('Loan Details'!$G$6:$G$20,A246,'Loan Details'!$H$6:$H$20),D246-G246))</f>
        <v>0</v>
      </c>
      <c r="I246" s="33" t="n">
        <f aca="false">MAX(0,D246-G246-H246)</f>
        <v>0</v>
      </c>
      <c r="J246" s="33" t="n">
        <f aca="false">IF(D246&lt;=0,0,IF(AND('Loan Details'!$B$10="Keep tenure, change EMI",OR(C246&lt;&gt;C245,H245&gt;0)),ROUND(PMT(C246/12,MAX(1,'Loan Details'!$B$8-A246+1),-D246),0),J245))</f>
        <v>0</v>
      </c>
    </row>
    <row r="247" customFormat="false" ht="15" hidden="false" customHeight="true" outlineLevel="0" collapsed="false">
      <c r="A247" s="24" t="n">
        <f aca="false">243</f>
        <v>243</v>
      </c>
      <c r="B247" s="32" t="n">
        <f aca="false">EDATE('Loan Details'!$B$9,242)</f>
        <v>53513</v>
      </c>
      <c r="C247" s="25" t="n">
        <f aca="false">LOOKUP(A247,'Loan Details'!$J$6:$J$14,'Loan Details'!$K$6:$K$14)</f>
        <v>0.0825</v>
      </c>
      <c r="D247" s="33" t="n">
        <f aca="false">I246</f>
        <v>0</v>
      </c>
      <c r="E247" s="33" t="n">
        <f aca="false">IF(D247&lt;=0,0,MIN(J247,D247+F247))</f>
        <v>0</v>
      </c>
      <c r="F247" s="33" t="n">
        <f aca="false">IF(D247&lt;=0,0,ROUND(D247*C247/12,0))</f>
        <v>0</v>
      </c>
      <c r="G247" s="33" t="n">
        <f aca="false">E247-F247</f>
        <v>0</v>
      </c>
      <c r="H247" s="33" t="n">
        <f aca="false">IF(D247&lt;=0,0,MIN(SUMIF('Loan Details'!$G$6:$G$20,A247,'Loan Details'!$H$6:$H$20),D247-G247))</f>
        <v>0</v>
      </c>
      <c r="I247" s="33" t="n">
        <f aca="false">MAX(0,D247-G247-H247)</f>
        <v>0</v>
      </c>
      <c r="J247" s="33" t="n">
        <f aca="false">IF(D247&lt;=0,0,IF(AND('Loan Details'!$B$10="Keep tenure, change EMI",OR(C247&lt;&gt;C246,H246&gt;0)),ROUND(PMT(C247/12,MAX(1,'Loan Details'!$B$8-A247+1),-D247),0),J246))</f>
        <v>0</v>
      </c>
    </row>
    <row r="248" customFormat="false" ht="15" hidden="false" customHeight="true" outlineLevel="0" collapsed="false">
      <c r="A248" s="24" t="n">
        <f aca="false">244</f>
        <v>244</v>
      </c>
      <c r="B248" s="32" t="n">
        <f aca="false">EDATE('Loan Details'!$B$9,243)</f>
        <v>53544</v>
      </c>
      <c r="C248" s="25" t="n">
        <f aca="false">LOOKUP(A248,'Loan Details'!$J$6:$J$14,'Loan Details'!$K$6:$K$14)</f>
        <v>0.0825</v>
      </c>
      <c r="D248" s="33" t="n">
        <f aca="false">I247</f>
        <v>0</v>
      </c>
      <c r="E248" s="33" t="n">
        <f aca="false">IF(D248&lt;=0,0,MIN(J248,D248+F248))</f>
        <v>0</v>
      </c>
      <c r="F248" s="33" t="n">
        <f aca="false">IF(D248&lt;=0,0,ROUND(D248*C248/12,0))</f>
        <v>0</v>
      </c>
      <c r="G248" s="33" t="n">
        <f aca="false">E248-F248</f>
        <v>0</v>
      </c>
      <c r="H248" s="33" t="n">
        <f aca="false">IF(D248&lt;=0,0,MIN(SUMIF('Loan Details'!$G$6:$G$20,A248,'Loan Details'!$H$6:$H$20),D248-G248))</f>
        <v>0</v>
      </c>
      <c r="I248" s="33" t="n">
        <f aca="false">MAX(0,D248-G248-H248)</f>
        <v>0</v>
      </c>
      <c r="J248" s="33" t="n">
        <f aca="false">IF(D248&lt;=0,0,IF(AND('Loan Details'!$B$10="Keep tenure, change EMI",OR(C248&lt;&gt;C247,H247&gt;0)),ROUND(PMT(C248/12,MAX(1,'Loan Details'!$B$8-A248+1),-D248),0),J247))</f>
        <v>0</v>
      </c>
    </row>
    <row r="249" customFormat="false" ht="15" hidden="false" customHeight="true" outlineLevel="0" collapsed="false">
      <c r="A249" s="24" t="n">
        <f aca="false">245</f>
        <v>245</v>
      </c>
      <c r="B249" s="32" t="n">
        <f aca="false">EDATE('Loan Details'!$B$9,244)</f>
        <v>53575</v>
      </c>
      <c r="C249" s="25" t="n">
        <f aca="false">LOOKUP(A249,'Loan Details'!$J$6:$J$14,'Loan Details'!$K$6:$K$14)</f>
        <v>0.0825</v>
      </c>
      <c r="D249" s="33" t="n">
        <f aca="false">I248</f>
        <v>0</v>
      </c>
      <c r="E249" s="33" t="n">
        <f aca="false">IF(D249&lt;=0,0,MIN(J249,D249+F249))</f>
        <v>0</v>
      </c>
      <c r="F249" s="33" t="n">
        <f aca="false">IF(D249&lt;=0,0,ROUND(D249*C249/12,0))</f>
        <v>0</v>
      </c>
      <c r="G249" s="33" t="n">
        <f aca="false">E249-F249</f>
        <v>0</v>
      </c>
      <c r="H249" s="33" t="n">
        <f aca="false">IF(D249&lt;=0,0,MIN(SUMIF('Loan Details'!$G$6:$G$20,A249,'Loan Details'!$H$6:$H$20),D249-G249))</f>
        <v>0</v>
      </c>
      <c r="I249" s="33" t="n">
        <f aca="false">MAX(0,D249-G249-H249)</f>
        <v>0</v>
      </c>
      <c r="J249" s="33" t="n">
        <f aca="false">IF(D249&lt;=0,0,IF(AND('Loan Details'!$B$10="Keep tenure, change EMI",OR(C249&lt;&gt;C248,H248&gt;0)),ROUND(PMT(C249/12,MAX(1,'Loan Details'!$B$8-A249+1),-D249),0),J248))</f>
        <v>0</v>
      </c>
    </row>
    <row r="250" customFormat="false" ht="15" hidden="false" customHeight="true" outlineLevel="0" collapsed="false">
      <c r="A250" s="24" t="n">
        <f aca="false">246</f>
        <v>246</v>
      </c>
      <c r="B250" s="32" t="n">
        <f aca="false">EDATE('Loan Details'!$B$9,245)</f>
        <v>53605</v>
      </c>
      <c r="C250" s="25" t="n">
        <f aca="false">LOOKUP(A250,'Loan Details'!$J$6:$J$14,'Loan Details'!$K$6:$K$14)</f>
        <v>0.0825</v>
      </c>
      <c r="D250" s="33" t="n">
        <f aca="false">I249</f>
        <v>0</v>
      </c>
      <c r="E250" s="33" t="n">
        <f aca="false">IF(D250&lt;=0,0,MIN(J250,D250+F250))</f>
        <v>0</v>
      </c>
      <c r="F250" s="33" t="n">
        <f aca="false">IF(D250&lt;=0,0,ROUND(D250*C250/12,0))</f>
        <v>0</v>
      </c>
      <c r="G250" s="33" t="n">
        <f aca="false">E250-F250</f>
        <v>0</v>
      </c>
      <c r="H250" s="33" t="n">
        <f aca="false">IF(D250&lt;=0,0,MIN(SUMIF('Loan Details'!$G$6:$G$20,A250,'Loan Details'!$H$6:$H$20),D250-G250))</f>
        <v>0</v>
      </c>
      <c r="I250" s="33" t="n">
        <f aca="false">MAX(0,D250-G250-H250)</f>
        <v>0</v>
      </c>
      <c r="J250" s="33" t="n">
        <f aca="false">IF(D250&lt;=0,0,IF(AND('Loan Details'!$B$10="Keep tenure, change EMI",OR(C250&lt;&gt;C249,H249&gt;0)),ROUND(PMT(C250/12,MAX(1,'Loan Details'!$B$8-A250+1),-D250),0),J249))</f>
        <v>0</v>
      </c>
    </row>
    <row r="251" customFormat="false" ht="15" hidden="false" customHeight="true" outlineLevel="0" collapsed="false">
      <c r="A251" s="24" t="n">
        <f aca="false">247</f>
        <v>247</v>
      </c>
      <c r="B251" s="32" t="n">
        <f aca="false">EDATE('Loan Details'!$B$9,246)</f>
        <v>53636</v>
      </c>
      <c r="C251" s="25" t="n">
        <f aca="false">LOOKUP(A251,'Loan Details'!$J$6:$J$14,'Loan Details'!$K$6:$K$14)</f>
        <v>0.0825</v>
      </c>
      <c r="D251" s="33" t="n">
        <f aca="false">I250</f>
        <v>0</v>
      </c>
      <c r="E251" s="33" t="n">
        <f aca="false">IF(D251&lt;=0,0,MIN(J251,D251+F251))</f>
        <v>0</v>
      </c>
      <c r="F251" s="33" t="n">
        <f aca="false">IF(D251&lt;=0,0,ROUND(D251*C251/12,0))</f>
        <v>0</v>
      </c>
      <c r="G251" s="33" t="n">
        <f aca="false">E251-F251</f>
        <v>0</v>
      </c>
      <c r="H251" s="33" t="n">
        <f aca="false">IF(D251&lt;=0,0,MIN(SUMIF('Loan Details'!$G$6:$G$20,A251,'Loan Details'!$H$6:$H$20),D251-G251))</f>
        <v>0</v>
      </c>
      <c r="I251" s="33" t="n">
        <f aca="false">MAX(0,D251-G251-H251)</f>
        <v>0</v>
      </c>
      <c r="J251" s="33" t="n">
        <f aca="false">IF(D251&lt;=0,0,IF(AND('Loan Details'!$B$10="Keep tenure, change EMI",OR(C251&lt;&gt;C250,H250&gt;0)),ROUND(PMT(C251/12,MAX(1,'Loan Details'!$B$8-A251+1),-D251),0),J250))</f>
        <v>0</v>
      </c>
    </row>
    <row r="252" customFormat="false" ht="15" hidden="false" customHeight="true" outlineLevel="0" collapsed="false">
      <c r="A252" s="24" t="n">
        <f aca="false">248</f>
        <v>248</v>
      </c>
      <c r="B252" s="32" t="n">
        <f aca="false">EDATE('Loan Details'!$B$9,247)</f>
        <v>53666</v>
      </c>
      <c r="C252" s="25" t="n">
        <f aca="false">LOOKUP(A252,'Loan Details'!$J$6:$J$14,'Loan Details'!$K$6:$K$14)</f>
        <v>0.0825</v>
      </c>
      <c r="D252" s="33" t="n">
        <f aca="false">I251</f>
        <v>0</v>
      </c>
      <c r="E252" s="33" t="n">
        <f aca="false">IF(D252&lt;=0,0,MIN(J252,D252+F252))</f>
        <v>0</v>
      </c>
      <c r="F252" s="33" t="n">
        <f aca="false">IF(D252&lt;=0,0,ROUND(D252*C252/12,0))</f>
        <v>0</v>
      </c>
      <c r="G252" s="33" t="n">
        <f aca="false">E252-F252</f>
        <v>0</v>
      </c>
      <c r="H252" s="33" t="n">
        <f aca="false">IF(D252&lt;=0,0,MIN(SUMIF('Loan Details'!$G$6:$G$20,A252,'Loan Details'!$H$6:$H$20),D252-G252))</f>
        <v>0</v>
      </c>
      <c r="I252" s="33" t="n">
        <f aca="false">MAX(0,D252-G252-H252)</f>
        <v>0</v>
      </c>
      <c r="J252" s="33" t="n">
        <f aca="false">IF(D252&lt;=0,0,IF(AND('Loan Details'!$B$10="Keep tenure, change EMI",OR(C252&lt;&gt;C251,H251&gt;0)),ROUND(PMT(C252/12,MAX(1,'Loan Details'!$B$8-A252+1),-D252),0),J251))</f>
        <v>0</v>
      </c>
    </row>
    <row r="253" customFormat="false" ht="15" hidden="false" customHeight="true" outlineLevel="0" collapsed="false">
      <c r="A253" s="24" t="n">
        <f aca="false">249</f>
        <v>249</v>
      </c>
      <c r="B253" s="32" t="n">
        <f aca="false">EDATE('Loan Details'!$B$9,248)</f>
        <v>53697</v>
      </c>
      <c r="C253" s="25" t="n">
        <f aca="false">LOOKUP(A253,'Loan Details'!$J$6:$J$14,'Loan Details'!$K$6:$K$14)</f>
        <v>0.0825</v>
      </c>
      <c r="D253" s="33" t="n">
        <f aca="false">I252</f>
        <v>0</v>
      </c>
      <c r="E253" s="33" t="n">
        <f aca="false">IF(D253&lt;=0,0,MIN(J253,D253+F253))</f>
        <v>0</v>
      </c>
      <c r="F253" s="33" t="n">
        <f aca="false">IF(D253&lt;=0,0,ROUND(D253*C253/12,0))</f>
        <v>0</v>
      </c>
      <c r="G253" s="33" t="n">
        <f aca="false">E253-F253</f>
        <v>0</v>
      </c>
      <c r="H253" s="33" t="n">
        <f aca="false">IF(D253&lt;=0,0,MIN(SUMIF('Loan Details'!$G$6:$G$20,A253,'Loan Details'!$H$6:$H$20),D253-G253))</f>
        <v>0</v>
      </c>
      <c r="I253" s="33" t="n">
        <f aca="false">MAX(0,D253-G253-H253)</f>
        <v>0</v>
      </c>
      <c r="J253" s="33" t="n">
        <f aca="false">IF(D253&lt;=0,0,IF(AND('Loan Details'!$B$10="Keep tenure, change EMI",OR(C253&lt;&gt;C252,H252&gt;0)),ROUND(PMT(C253/12,MAX(1,'Loan Details'!$B$8-A253+1),-D253),0),J252))</f>
        <v>0</v>
      </c>
    </row>
    <row r="254" customFormat="false" ht="15" hidden="false" customHeight="true" outlineLevel="0" collapsed="false">
      <c r="A254" s="24" t="n">
        <f aca="false">250</f>
        <v>250</v>
      </c>
      <c r="B254" s="32" t="n">
        <f aca="false">EDATE('Loan Details'!$B$9,249)</f>
        <v>53728</v>
      </c>
      <c r="C254" s="25" t="n">
        <f aca="false">LOOKUP(A254,'Loan Details'!$J$6:$J$14,'Loan Details'!$K$6:$K$14)</f>
        <v>0.0825</v>
      </c>
      <c r="D254" s="33" t="n">
        <f aca="false">I253</f>
        <v>0</v>
      </c>
      <c r="E254" s="33" t="n">
        <f aca="false">IF(D254&lt;=0,0,MIN(J254,D254+F254))</f>
        <v>0</v>
      </c>
      <c r="F254" s="33" t="n">
        <f aca="false">IF(D254&lt;=0,0,ROUND(D254*C254/12,0))</f>
        <v>0</v>
      </c>
      <c r="G254" s="33" t="n">
        <f aca="false">E254-F254</f>
        <v>0</v>
      </c>
      <c r="H254" s="33" t="n">
        <f aca="false">IF(D254&lt;=0,0,MIN(SUMIF('Loan Details'!$G$6:$G$20,A254,'Loan Details'!$H$6:$H$20),D254-G254))</f>
        <v>0</v>
      </c>
      <c r="I254" s="33" t="n">
        <f aca="false">MAX(0,D254-G254-H254)</f>
        <v>0</v>
      </c>
      <c r="J254" s="33" t="n">
        <f aca="false">IF(D254&lt;=0,0,IF(AND('Loan Details'!$B$10="Keep tenure, change EMI",OR(C254&lt;&gt;C253,H253&gt;0)),ROUND(PMT(C254/12,MAX(1,'Loan Details'!$B$8-A254+1),-D254),0),J253))</f>
        <v>0</v>
      </c>
    </row>
    <row r="255" customFormat="false" ht="15" hidden="false" customHeight="true" outlineLevel="0" collapsed="false">
      <c r="A255" s="24" t="n">
        <f aca="false">251</f>
        <v>251</v>
      </c>
      <c r="B255" s="32" t="n">
        <f aca="false">EDATE('Loan Details'!$B$9,250)</f>
        <v>53756</v>
      </c>
      <c r="C255" s="25" t="n">
        <f aca="false">LOOKUP(A255,'Loan Details'!$J$6:$J$14,'Loan Details'!$K$6:$K$14)</f>
        <v>0.0825</v>
      </c>
      <c r="D255" s="33" t="n">
        <f aca="false">I254</f>
        <v>0</v>
      </c>
      <c r="E255" s="33" t="n">
        <f aca="false">IF(D255&lt;=0,0,MIN(J255,D255+F255))</f>
        <v>0</v>
      </c>
      <c r="F255" s="33" t="n">
        <f aca="false">IF(D255&lt;=0,0,ROUND(D255*C255/12,0))</f>
        <v>0</v>
      </c>
      <c r="G255" s="33" t="n">
        <f aca="false">E255-F255</f>
        <v>0</v>
      </c>
      <c r="H255" s="33" t="n">
        <f aca="false">IF(D255&lt;=0,0,MIN(SUMIF('Loan Details'!$G$6:$G$20,A255,'Loan Details'!$H$6:$H$20),D255-G255))</f>
        <v>0</v>
      </c>
      <c r="I255" s="33" t="n">
        <f aca="false">MAX(0,D255-G255-H255)</f>
        <v>0</v>
      </c>
      <c r="J255" s="33" t="n">
        <f aca="false">IF(D255&lt;=0,0,IF(AND('Loan Details'!$B$10="Keep tenure, change EMI",OR(C255&lt;&gt;C254,H254&gt;0)),ROUND(PMT(C255/12,MAX(1,'Loan Details'!$B$8-A255+1),-D255),0),J254))</f>
        <v>0</v>
      </c>
    </row>
    <row r="256" customFormat="false" ht="15" hidden="false" customHeight="true" outlineLevel="0" collapsed="false">
      <c r="A256" s="24" t="n">
        <f aca="false">252</f>
        <v>252</v>
      </c>
      <c r="B256" s="32" t="n">
        <f aca="false">EDATE('Loan Details'!$B$9,251)</f>
        <v>53787</v>
      </c>
      <c r="C256" s="25" t="n">
        <f aca="false">LOOKUP(A256,'Loan Details'!$J$6:$J$14,'Loan Details'!$K$6:$K$14)</f>
        <v>0.0825</v>
      </c>
      <c r="D256" s="33" t="n">
        <f aca="false">I255</f>
        <v>0</v>
      </c>
      <c r="E256" s="33" t="n">
        <f aca="false">IF(D256&lt;=0,0,MIN(J256,D256+F256))</f>
        <v>0</v>
      </c>
      <c r="F256" s="33" t="n">
        <f aca="false">IF(D256&lt;=0,0,ROUND(D256*C256/12,0))</f>
        <v>0</v>
      </c>
      <c r="G256" s="33" t="n">
        <f aca="false">E256-F256</f>
        <v>0</v>
      </c>
      <c r="H256" s="33" t="n">
        <f aca="false">IF(D256&lt;=0,0,MIN(SUMIF('Loan Details'!$G$6:$G$20,A256,'Loan Details'!$H$6:$H$20),D256-G256))</f>
        <v>0</v>
      </c>
      <c r="I256" s="33" t="n">
        <f aca="false">MAX(0,D256-G256-H256)</f>
        <v>0</v>
      </c>
      <c r="J256" s="33" t="n">
        <f aca="false">IF(D256&lt;=0,0,IF(AND('Loan Details'!$B$10="Keep tenure, change EMI",OR(C256&lt;&gt;C255,H255&gt;0)),ROUND(PMT(C256/12,MAX(1,'Loan Details'!$B$8-A256+1),-D256),0),J255))</f>
        <v>0</v>
      </c>
    </row>
    <row r="257" customFormat="false" ht="15" hidden="false" customHeight="true" outlineLevel="0" collapsed="false">
      <c r="A257" s="24" t="n">
        <f aca="false">253</f>
        <v>253</v>
      </c>
      <c r="B257" s="32" t="n">
        <f aca="false">EDATE('Loan Details'!$B$9,252)</f>
        <v>53817</v>
      </c>
      <c r="C257" s="25" t="n">
        <f aca="false">LOOKUP(A257,'Loan Details'!$J$6:$J$14,'Loan Details'!$K$6:$K$14)</f>
        <v>0.0825</v>
      </c>
      <c r="D257" s="33" t="n">
        <f aca="false">I256</f>
        <v>0</v>
      </c>
      <c r="E257" s="33" t="n">
        <f aca="false">IF(D257&lt;=0,0,MIN(J257,D257+F257))</f>
        <v>0</v>
      </c>
      <c r="F257" s="33" t="n">
        <f aca="false">IF(D257&lt;=0,0,ROUND(D257*C257/12,0))</f>
        <v>0</v>
      </c>
      <c r="G257" s="33" t="n">
        <f aca="false">E257-F257</f>
        <v>0</v>
      </c>
      <c r="H257" s="33" t="n">
        <f aca="false">IF(D257&lt;=0,0,MIN(SUMIF('Loan Details'!$G$6:$G$20,A257,'Loan Details'!$H$6:$H$20),D257-G257))</f>
        <v>0</v>
      </c>
      <c r="I257" s="33" t="n">
        <f aca="false">MAX(0,D257-G257-H257)</f>
        <v>0</v>
      </c>
      <c r="J257" s="33" t="n">
        <f aca="false">IF(D257&lt;=0,0,IF(AND('Loan Details'!$B$10="Keep tenure, change EMI",OR(C257&lt;&gt;C256,H256&gt;0)),ROUND(PMT(C257/12,MAX(1,'Loan Details'!$B$8-A257+1),-D257),0),J256))</f>
        <v>0</v>
      </c>
    </row>
    <row r="258" customFormat="false" ht="15" hidden="false" customHeight="true" outlineLevel="0" collapsed="false">
      <c r="A258" s="24" t="n">
        <f aca="false">254</f>
        <v>254</v>
      </c>
      <c r="B258" s="32" t="n">
        <f aca="false">EDATE('Loan Details'!$B$9,253)</f>
        <v>53848</v>
      </c>
      <c r="C258" s="25" t="n">
        <f aca="false">LOOKUP(A258,'Loan Details'!$J$6:$J$14,'Loan Details'!$K$6:$K$14)</f>
        <v>0.0825</v>
      </c>
      <c r="D258" s="33" t="n">
        <f aca="false">I257</f>
        <v>0</v>
      </c>
      <c r="E258" s="33" t="n">
        <f aca="false">IF(D258&lt;=0,0,MIN(J258,D258+F258))</f>
        <v>0</v>
      </c>
      <c r="F258" s="33" t="n">
        <f aca="false">IF(D258&lt;=0,0,ROUND(D258*C258/12,0))</f>
        <v>0</v>
      </c>
      <c r="G258" s="33" t="n">
        <f aca="false">E258-F258</f>
        <v>0</v>
      </c>
      <c r="H258" s="33" t="n">
        <f aca="false">IF(D258&lt;=0,0,MIN(SUMIF('Loan Details'!$G$6:$G$20,A258,'Loan Details'!$H$6:$H$20),D258-G258))</f>
        <v>0</v>
      </c>
      <c r="I258" s="33" t="n">
        <f aca="false">MAX(0,D258-G258-H258)</f>
        <v>0</v>
      </c>
      <c r="J258" s="33" t="n">
        <f aca="false">IF(D258&lt;=0,0,IF(AND('Loan Details'!$B$10="Keep tenure, change EMI",OR(C258&lt;&gt;C257,H257&gt;0)),ROUND(PMT(C258/12,MAX(1,'Loan Details'!$B$8-A258+1),-D258),0),J257))</f>
        <v>0</v>
      </c>
    </row>
    <row r="259" customFormat="false" ht="15" hidden="false" customHeight="true" outlineLevel="0" collapsed="false">
      <c r="A259" s="24" t="n">
        <f aca="false">255</f>
        <v>255</v>
      </c>
      <c r="B259" s="32" t="n">
        <f aca="false">EDATE('Loan Details'!$B$9,254)</f>
        <v>53878</v>
      </c>
      <c r="C259" s="25" t="n">
        <f aca="false">LOOKUP(A259,'Loan Details'!$J$6:$J$14,'Loan Details'!$K$6:$K$14)</f>
        <v>0.0825</v>
      </c>
      <c r="D259" s="33" t="n">
        <f aca="false">I258</f>
        <v>0</v>
      </c>
      <c r="E259" s="33" t="n">
        <f aca="false">IF(D259&lt;=0,0,MIN(J259,D259+F259))</f>
        <v>0</v>
      </c>
      <c r="F259" s="33" t="n">
        <f aca="false">IF(D259&lt;=0,0,ROUND(D259*C259/12,0))</f>
        <v>0</v>
      </c>
      <c r="G259" s="33" t="n">
        <f aca="false">E259-F259</f>
        <v>0</v>
      </c>
      <c r="H259" s="33" t="n">
        <f aca="false">IF(D259&lt;=0,0,MIN(SUMIF('Loan Details'!$G$6:$G$20,A259,'Loan Details'!$H$6:$H$20),D259-G259))</f>
        <v>0</v>
      </c>
      <c r="I259" s="33" t="n">
        <f aca="false">MAX(0,D259-G259-H259)</f>
        <v>0</v>
      </c>
      <c r="J259" s="33" t="n">
        <f aca="false">IF(D259&lt;=0,0,IF(AND('Loan Details'!$B$10="Keep tenure, change EMI",OR(C259&lt;&gt;C258,H258&gt;0)),ROUND(PMT(C259/12,MAX(1,'Loan Details'!$B$8-A259+1),-D259),0),J258))</f>
        <v>0</v>
      </c>
    </row>
    <row r="260" customFormat="false" ht="15" hidden="false" customHeight="true" outlineLevel="0" collapsed="false">
      <c r="A260" s="24" t="n">
        <f aca="false">256</f>
        <v>256</v>
      </c>
      <c r="B260" s="32" t="n">
        <f aca="false">EDATE('Loan Details'!$B$9,255)</f>
        <v>53909</v>
      </c>
      <c r="C260" s="25" t="n">
        <f aca="false">LOOKUP(A260,'Loan Details'!$J$6:$J$14,'Loan Details'!$K$6:$K$14)</f>
        <v>0.0825</v>
      </c>
      <c r="D260" s="33" t="n">
        <f aca="false">I259</f>
        <v>0</v>
      </c>
      <c r="E260" s="33" t="n">
        <f aca="false">IF(D260&lt;=0,0,MIN(J260,D260+F260))</f>
        <v>0</v>
      </c>
      <c r="F260" s="33" t="n">
        <f aca="false">IF(D260&lt;=0,0,ROUND(D260*C260/12,0))</f>
        <v>0</v>
      </c>
      <c r="G260" s="33" t="n">
        <f aca="false">E260-F260</f>
        <v>0</v>
      </c>
      <c r="H260" s="33" t="n">
        <f aca="false">IF(D260&lt;=0,0,MIN(SUMIF('Loan Details'!$G$6:$G$20,A260,'Loan Details'!$H$6:$H$20),D260-G260))</f>
        <v>0</v>
      </c>
      <c r="I260" s="33" t="n">
        <f aca="false">MAX(0,D260-G260-H260)</f>
        <v>0</v>
      </c>
      <c r="J260" s="33" t="n">
        <f aca="false">IF(D260&lt;=0,0,IF(AND('Loan Details'!$B$10="Keep tenure, change EMI",OR(C260&lt;&gt;C259,H259&gt;0)),ROUND(PMT(C260/12,MAX(1,'Loan Details'!$B$8-A260+1),-D260),0),J259))</f>
        <v>0</v>
      </c>
    </row>
    <row r="261" customFormat="false" ht="15" hidden="false" customHeight="true" outlineLevel="0" collapsed="false">
      <c r="A261" s="24" t="n">
        <f aca="false">257</f>
        <v>257</v>
      </c>
      <c r="B261" s="32" t="n">
        <f aca="false">EDATE('Loan Details'!$B$9,256)</f>
        <v>53940</v>
      </c>
      <c r="C261" s="25" t="n">
        <f aca="false">LOOKUP(A261,'Loan Details'!$J$6:$J$14,'Loan Details'!$K$6:$K$14)</f>
        <v>0.0825</v>
      </c>
      <c r="D261" s="33" t="n">
        <f aca="false">I260</f>
        <v>0</v>
      </c>
      <c r="E261" s="33" t="n">
        <f aca="false">IF(D261&lt;=0,0,MIN(J261,D261+F261))</f>
        <v>0</v>
      </c>
      <c r="F261" s="33" t="n">
        <f aca="false">IF(D261&lt;=0,0,ROUND(D261*C261/12,0))</f>
        <v>0</v>
      </c>
      <c r="G261" s="33" t="n">
        <f aca="false">E261-F261</f>
        <v>0</v>
      </c>
      <c r="H261" s="33" t="n">
        <f aca="false">IF(D261&lt;=0,0,MIN(SUMIF('Loan Details'!$G$6:$G$20,A261,'Loan Details'!$H$6:$H$20),D261-G261))</f>
        <v>0</v>
      </c>
      <c r="I261" s="33" t="n">
        <f aca="false">MAX(0,D261-G261-H261)</f>
        <v>0</v>
      </c>
      <c r="J261" s="33" t="n">
        <f aca="false">IF(D261&lt;=0,0,IF(AND('Loan Details'!$B$10="Keep tenure, change EMI",OR(C261&lt;&gt;C260,H260&gt;0)),ROUND(PMT(C261/12,MAX(1,'Loan Details'!$B$8-A261+1),-D261),0),J260))</f>
        <v>0</v>
      </c>
    </row>
    <row r="262" customFormat="false" ht="15" hidden="false" customHeight="true" outlineLevel="0" collapsed="false">
      <c r="A262" s="24" t="n">
        <f aca="false">258</f>
        <v>258</v>
      </c>
      <c r="B262" s="32" t="n">
        <f aca="false">EDATE('Loan Details'!$B$9,257)</f>
        <v>53970</v>
      </c>
      <c r="C262" s="25" t="n">
        <f aca="false">LOOKUP(A262,'Loan Details'!$J$6:$J$14,'Loan Details'!$K$6:$K$14)</f>
        <v>0.0825</v>
      </c>
      <c r="D262" s="33" t="n">
        <f aca="false">I261</f>
        <v>0</v>
      </c>
      <c r="E262" s="33" t="n">
        <f aca="false">IF(D262&lt;=0,0,MIN(J262,D262+F262))</f>
        <v>0</v>
      </c>
      <c r="F262" s="33" t="n">
        <f aca="false">IF(D262&lt;=0,0,ROUND(D262*C262/12,0))</f>
        <v>0</v>
      </c>
      <c r="G262" s="33" t="n">
        <f aca="false">E262-F262</f>
        <v>0</v>
      </c>
      <c r="H262" s="33" t="n">
        <f aca="false">IF(D262&lt;=0,0,MIN(SUMIF('Loan Details'!$G$6:$G$20,A262,'Loan Details'!$H$6:$H$20),D262-G262))</f>
        <v>0</v>
      </c>
      <c r="I262" s="33" t="n">
        <f aca="false">MAX(0,D262-G262-H262)</f>
        <v>0</v>
      </c>
      <c r="J262" s="33" t="n">
        <f aca="false">IF(D262&lt;=0,0,IF(AND('Loan Details'!$B$10="Keep tenure, change EMI",OR(C262&lt;&gt;C261,H261&gt;0)),ROUND(PMT(C262/12,MAX(1,'Loan Details'!$B$8-A262+1),-D262),0),J261))</f>
        <v>0</v>
      </c>
    </row>
    <row r="263" customFormat="false" ht="15" hidden="false" customHeight="true" outlineLevel="0" collapsed="false">
      <c r="A263" s="24" t="n">
        <f aca="false">259</f>
        <v>259</v>
      </c>
      <c r="B263" s="32" t="n">
        <f aca="false">EDATE('Loan Details'!$B$9,258)</f>
        <v>54001</v>
      </c>
      <c r="C263" s="25" t="n">
        <f aca="false">LOOKUP(A263,'Loan Details'!$J$6:$J$14,'Loan Details'!$K$6:$K$14)</f>
        <v>0.0825</v>
      </c>
      <c r="D263" s="33" t="n">
        <f aca="false">I262</f>
        <v>0</v>
      </c>
      <c r="E263" s="33" t="n">
        <f aca="false">IF(D263&lt;=0,0,MIN(J263,D263+F263))</f>
        <v>0</v>
      </c>
      <c r="F263" s="33" t="n">
        <f aca="false">IF(D263&lt;=0,0,ROUND(D263*C263/12,0))</f>
        <v>0</v>
      </c>
      <c r="G263" s="33" t="n">
        <f aca="false">E263-F263</f>
        <v>0</v>
      </c>
      <c r="H263" s="33" t="n">
        <f aca="false">IF(D263&lt;=0,0,MIN(SUMIF('Loan Details'!$G$6:$G$20,A263,'Loan Details'!$H$6:$H$20),D263-G263))</f>
        <v>0</v>
      </c>
      <c r="I263" s="33" t="n">
        <f aca="false">MAX(0,D263-G263-H263)</f>
        <v>0</v>
      </c>
      <c r="J263" s="33" t="n">
        <f aca="false">IF(D263&lt;=0,0,IF(AND('Loan Details'!$B$10="Keep tenure, change EMI",OR(C263&lt;&gt;C262,H262&gt;0)),ROUND(PMT(C263/12,MAX(1,'Loan Details'!$B$8-A263+1),-D263),0),J262))</f>
        <v>0</v>
      </c>
    </row>
    <row r="264" customFormat="false" ht="15" hidden="false" customHeight="true" outlineLevel="0" collapsed="false">
      <c r="A264" s="24" t="n">
        <f aca="false">260</f>
        <v>260</v>
      </c>
      <c r="B264" s="32" t="n">
        <f aca="false">EDATE('Loan Details'!$B$9,259)</f>
        <v>54031</v>
      </c>
      <c r="C264" s="25" t="n">
        <f aca="false">LOOKUP(A264,'Loan Details'!$J$6:$J$14,'Loan Details'!$K$6:$K$14)</f>
        <v>0.0825</v>
      </c>
      <c r="D264" s="33" t="n">
        <f aca="false">I263</f>
        <v>0</v>
      </c>
      <c r="E264" s="33" t="n">
        <f aca="false">IF(D264&lt;=0,0,MIN(J264,D264+F264))</f>
        <v>0</v>
      </c>
      <c r="F264" s="33" t="n">
        <f aca="false">IF(D264&lt;=0,0,ROUND(D264*C264/12,0))</f>
        <v>0</v>
      </c>
      <c r="G264" s="33" t="n">
        <f aca="false">E264-F264</f>
        <v>0</v>
      </c>
      <c r="H264" s="33" t="n">
        <f aca="false">IF(D264&lt;=0,0,MIN(SUMIF('Loan Details'!$G$6:$G$20,A264,'Loan Details'!$H$6:$H$20),D264-G264))</f>
        <v>0</v>
      </c>
      <c r="I264" s="33" t="n">
        <f aca="false">MAX(0,D264-G264-H264)</f>
        <v>0</v>
      </c>
      <c r="J264" s="33" t="n">
        <f aca="false">IF(D264&lt;=0,0,IF(AND('Loan Details'!$B$10="Keep tenure, change EMI",OR(C264&lt;&gt;C263,H263&gt;0)),ROUND(PMT(C264/12,MAX(1,'Loan Details'!$B$8-A264+1),-D264),0),J263))</f>
        <v>0</v>
      </c>
    </row>
    <row r="265" customFormat="false" ht="15" hidden="false" customHeight="true" outlineLevel="0" collapsed="false">
      <c r="A265" s="24" t="n">
        <f aca="false">261</f>
        <v>261</v>
      </c>
      <c r="B265" s="32" t="n">
        <f aca="false">EDATE('Loan Details'!$B$9,260)</f>
        <v>54062</v>
      </c>
      <c r="C265" s="25" t="n">
        <f aca="false">LOOKUP(A265,'Loan Details'!$J$6:$J$14,'Loan Details'!$K$6:$K$14)</f>
        <v>0.0825</v>
      </c>
      <c r="D265" s="33" t="n">
        <f aca="false">I264</f>
        <v>0</v>
      </c>
      <c r="E265" s="33" t="n">
        <f aca="false">IF(D265&lt;=0,0,MIN(J265,D265+F265))</f>
        <v>0</v>
      </c>
      <c r="F265" s="33" t="n">
        <f aca="false">IF(D265&lt;=0,0,ROUND(D265*C265/12,0))</f>
        <v>0</v>
      </c>
      <c r="G265" s="33" t="n">
        <f aca="false">E265-F265</f>
        <v>0</v>
      </c>
      <c r="H265" s="33" t="n">
        <f aca="false">IF(D265&lt;=0,0,MIN(SUMIF('Loan Details'!$G$6:$G$20,A265,'Loan Details'!$H$6:$H$20),D265-G265))</f>
        <v>0</v>
      </c>
      <c r="I265" s="33" t="n">
        <f aca="false">MAX(0,D265-G265-H265)</f>
        <v>0</v>
      </c>
      <c r="J265" s="33" t="n">
        <f aca="false">IF(D265&lt;=0,0,IF(AND('Loan Details'!$B$10="Keep tenure, change EMI",OR(C265&lt;&gt;C264,H264&gt;0)),ROUND(PMT(C265/12,MAX(1,'Loan Details'!$B$8-A265+1),-D265),0),J264))</f>
        <v>0</v>
      </c>
    </row>
    <row r="266" customFormat="false" ht="15" hidden="false" customHeight="true" outlineLevel="0" collapsed="false">
      <c r="A266" s="24" t="n">
        <f aca="false">262</f>
        <v>262</v>
      </c>
      <c r="B266" s="32" t="n">
        <f aca="false">EDATE('Loan Details'!$B$9,261)</f>
        <v>54093</v>
      </c>
      <c r="C266" s="25" t="n">
        <f aca="false">LOOKUP(A266,'Loan Details'!$J$6:$J$14,'Loan Details'!$K$6:$K$14)</f>
        <v>0.0825</v>
      </c>
      <c r="D266" s="33" t="n">
        <f aca="false">I265</f>
        <v>0</v>
      </c>
      <c r="E266" s="33" t="n">
        <f aca="false">IF(D266&lt;=0,0,MIN(J266,D266+F266))</f>
        <v>0</v>
      </c>
      <c r="F266" s="33" t="n">
        <f aca="false">IF(D266&lt;=0,0,ROUND(D266*C266/12,0))</f>
        <v>0</v>
      </c>
      <c r="G266" s="33" t="n">
        <f aca="false">E266-F266</f>
        <v>0</v>
      </c>
      <c r="H266" s="33" t="n">
        <f aca="false">IF(D266&lt;=0,0,MIN(SUMIF('Loan Details'!$G$6:$G$20,A266,'Loan Details'!$H$6:$H$20),D266-G266))</f>
        <v>0</v>
      </c>
      <c r="I266" s="33" t="n">
        <f aca="false">MAX(0,D266-G266-H266)</f>
        <v>0</v>
      </c>
      <c r="J266" s="33" t="n">
        <f aca="false">IF(D266&lt;=0,0,IF(AND('Loan Details'!$B$10="Keep tenure, change EMI",OR(C266&lt;&gt;C265,H265&gt;0)),ROUND(PMT(C266/12,MAX(1,'Loan Details'!$B$8-A266+1),-D266),0),J265))</f>
        <v>0</v>
      </c>
    </row>
    <row r="267" customFormat="false" ht="15" hidden="false" customHeight="true" outlineLevel="0" collapsed="false">
      <c r="A267" s="24" t="n">
        <f aca="false">263</f>
        <v>263</v>
      </c>
      <c r="B267" s="32" t="n">
        <f aca="false">EDATE('Loan Details'!$B$9,262)</f>
        <v>54122</v>
      </c>
      <c r="C267" s="25" t="n">
        <f aca="false">LOOKUP(A267,'Loan Details'!$J$6:$J$14,'Loan Details'!$K$6:$K$14)</f>
        <v>0.0825</v>
      </c>
      <c r="D267" s="33" t="n">
        <f aca="false">I266</f>
        <v>0</v>
      </c>
      <c r="E267" s="33" t="n">
        <f aca="false">IF(D267&lt;=0,0,MIN(J267,D267+F267))</f>
        <v>0</v>
      </c>
      <c r="F267" s="33" t="n">
        <f aca="false">IF(D267&lt;=0,0,ROUND(D267*C267/12,0))</f>
        <v>0</v>
      </c>
      <c r="G267" s="33" t="n">
        <f aca="false">E267-F267</f>
        <v>0</v>
      </c>
      <c r="H267" s="33" t="n">
        <f aca="false">IF(D267&lt;=0,0,MIN(SUMIF('Loan Details'!$G$6:$G$20,A267,'Loan Details'!$H$6:$H$20),D267-G267))</f>
        <v>0</v>
      </c>
      <c r="I267" s="33" t="n">
        <f aca="false">MAX(0,D267-G267-H267)</f>
        <v>0</v>
      </c>
      <c r="J267" s="33" t="n">
        <f aca="false">IF(D267&lt;=0,0,IF(AND('Loan Details'!$B$10="Keep tenure, change EMI",OR(C267&lt;&gt;C266,H266&gt;0)),ROUND(PMT(C267/12,MAX(1,'Loan Details'!$B$8-A267+1),-D267),0),J266))</f>
        <v>0</v>
      </c>
    </row>
    <row r="268" customFormat="false" ht="15" hidden="false" customHeight="true" outlineLevel="0" collapsed="false">
      <c r="A268" s="24" t="n">
        <f aca="false">264</f>
        <v>264</v>
      </c>
      <c r="B268" s="32" t="n">
        <f aca="false">EDATE('Loan Details'!$B$9,263)</f>
        <v>54153</v>
      </c>
      <c r="C268" s="25" t="n">
        <f aca="false">LOOKUP(A268,'Loan Details'!$J$6:$J$14,'Loan Details'!$K$6:$K$14)</f>
        <v>0.0825</v>
      </c>
      <c r="D268" s="33" t="n">
        <f aca="false">I267</f>
        <v>0</v>
      </c>
      <c r="E268" s="33" t="n">
        <f aca="false">IF(D268&lt;=0,0,MIN(J268,D268+F268))</f>
        <v>0</v>
      </c>
      <c r="F268" s="33" t="n">
        <f aca="false">IF(D268&lt;=0,0,ROUND(D268*C268/12,0))</f>
        <v>0</v>
      </c>
      <c r="G268" s="33" t="n">
        <f aca="false">E268-F268</f>
        <v>0</v>
      </c>
      <c r="H268" s="33" t="n">
        <f aca="false">IF(D268&lt;=0,0,MIN(SUMIF('Loan Details'!$G$6:$G$20,A268,'Loan Details'!$H$6:$H$20),D268-G268))</f>
        <v>0</v>
      </c>
      <c r="I268" s="33" t="n">
        <f aca="false">MAX(0,D268-G268-H268)</f>
        <v>0</v>
      </c>
      <c r="J268" s="33" t="n">
        <f aca="false">IF(D268&lt;=0,0,IF(AND('Loan Details'!$B$10="Keep tenure, change EMI",OR(C268&lt;&gt;C267,H267&gt;0)),ROUND(PMT(C268/12,MAX(1,'Loan Details'!$B$8-A268+1),-D268),0),J267))</f>
        <v>0</v>
      </c>
    </row>
    <row r="269" customFormat="false" ht="15" hidden="false" customHeight="true" outlineLevel="0" collapsed="false">
      <c r="A269" s="24" t="n">
        <f aca="false">265</f>
        <v>265</v>
      </c>
      <c r="B269" s="32" t="n">
        <f aca="false">EDATE('Loan Details'!$B$9,264)</f>
        <v>54183</v>
      </c>
      <c r="C269" s="25" t="n">
        <f aca="false">LOOKUP(A269,'Loan Details'!$J$6:$J$14,'Loan Details'!$K$6:$K$14)</f>
        <v>0.0825</v>
      </c>
      <c r="D269" s="33" t="n">
        <f aca="false">I268</f>
        <v>0</v>
      </c>
      <c r="E269" s="33" t="n">
        <f aca="false">IF(D269&lt;=0,0,MIN(J269,D269+F269))</f>
        <v>0</v>
      </c>
      <c r="F269" s="33" t="n">
        <f aca="false">IF(D269&lt;=0,0,ROUND(D269*C269/12,0))</f>
        <v>0</v>
      </c>
      <c r="G269" s="33" t="n">
        <f aca="false">E269-F269</f>
        <v>0</v>
      </c>
      <c r="H269" s="33" t="n">
        <f aca="false">IF(D269&lt;=0,0,MIN(SUMIF('Loan Details'!$G$6:$G$20,A269,'Loan Details'!$H$6:$H$20),D269-G269))</f>
        <v>0</v>
      </c>
      <c r="I269" s="33" t="n">
        <f aca="false">MAX(0,D269-G269-H269)</f>
        <v>0</v>
      </c>
      <c r="J269" s="33" t="n">
        <f aca="false">IF(D269&lt;=0,0,IF(AND('Loan Details'!$B$10="Keep tenure, change EMI",OR(C269&lt;&gt;C268,H268&gt;0)),ROUND(PMT(C269/12,MAX(1,'Loan Details'!$B$8-A269+1),-D269),0),J268))</f>
        <v>0</v>
      </c>
    </row>
    <row r="270" customFormat="false" ht="15" hidden="false" customHeight="true" outlineLevel="0" collapsed="false">
      <c r="A270" s="24" t="n">
        <f aca="false">266</f>
        <v>266</v>
      </c>
      <c r="B270" s="32" t="n">
        <f aca="false">EDATE('Loan Details'!$B$9,265)</f>
        <v>54214</v>
      </c>
      <c r="C270" s="25" t="n">
        <f aca="false">LOOKUP(A270,'Loan Details'!$J$6:$J$14,'Loan Details'!$K$6:$K$14)</f>
        <v>0.0825</v>
      </c>
      <c r="D270" s="33" t="n">
        <f aca="false">I269</f>
        <v>0</v>
      </c>
      <c r="E270" s="33" t="n">
        <f aca="false">IF(D270&lt;=0,0,MIN(J270,D270+F270))</f>
        <v>0</v>
      </c>
      <c r="F270" s="33" t="n">
        <f aca="false">IF(D270&lt;=0,0,ROUND(D270*C270/12,0))</f>
        <v>0</v>
      </c>
      <c r="G270" s="33" t="n">
        <f aca="false">E270-F270</f>
        <v>0</v>
      </c>
      <c r="H270" s="33" t="n">
        <f aca="false">IF(D270&lt;=0,0,MIN(SUMIF('Loan Details'!$G$6:$G$20,A270,'Loan Details'!$H$6:$H$20),D270-G270))</f>
        <v>0</v>
      </c>
      <c r="I270" s="33" t="n">
        <f aca="false">MAX(0,D270-G270-H270)</f>
        <v>0</v>
      </c>
      <c r="J270" s="33" t="n">
        <f aca="false">IF(D270&lt;=0,0,IF(AND('Loan Details'!$B$10="Keep tenure, change EMI",OR(C270&lt;&gt;C269,H269&gt;0)),ROUND(PMT(C270/12,MAX(1,'Loan Details'!$B$8-A270+1),-D270),0),J269))</f>
        <v>0</v>
      </c>
    </row>
    <row r="271" customFormat="false" ht="15" hidden="false" customHeight="true" outlineLevel="0" collapsed="false">
      <c r="A271" s="24" t="n">
        <f aca="false">267</f>
        <v>267</v>
      </c>
      <c r="B271" s="32" t="n">
        <f aca="false">EDATE('Loan Details'!$B$9,266)</f>
        <v>54244</v>
      </c>
      <c r="C271" s="25" t="n">
        <f aca="false">LOOKUP(A271,'Loan Details'!$J$6:$J$14,'Loan Details'!$K$6:$K$14)</f>
        <v>0.0825</v>
      </c>
      <c r="D271" s="33" t="n">
        <f aca="false">I270</f>
        <v>0</v>
      </c>
      <c r="E271" s="33" t="n">
        <f aca="false">IF(D271&lt;=0,0,MIN(J271,D271+F271))</f>
        <v>0</v>
      </c>
      <c r="F271" s="33" t="n">
        <f aca="false">IF(D271&lt;=0,0,ROUND(D271*C271/12,0))</f>
        <v>0</v>
      </c>
      <c r="G271" s="33" t="n">
        <f aca="false">E271-F271</f>
        <v>0</v>
      </c>
      <c r="H271" s="33" t="n">
        <f aca="false">IF(D271&lt;=0,0,MIN(SUMIF('Loan Details'!$G$6:$G$20,A271,'Loan Details'!$H$6:$H$20),D271-G271))</f>
        <v>0</v>
      </c>
      <c r="I271" s="33" t="n">
        <f aca="false">MAX(0,D271-G271-H271)</f>
        <v>0</v>
      </c>
      <c r="J271" s="33" t="n">
        <f aca="false">IF(D271&lt;=0,0,IF(AND('Loan Details'!$B$10="Keep tenure, change EMI",OR(C271&lt;&gt;C270,H270&gt;0)),ROUND(PMT(C271/12,MAX(1,'Loan Details'!$B$8-A271+1),-D271),0),J270))</f>
        <v>0</v>
      </c>
    </row>
    <row r="272" customFormat="false" ht="15" hidden="false" customHeight="true" outlineLevel="0" collapsed="false">
      <c r="A272" s="24" t="n">
        <f aca="false">268</f>
        <v>268</v>
      </c>
      <c r="B272" s="32" t="n">
        <f aca="false">EDATE('Loan Details'!$B$9,267)</f>
        <v>54275</v>
      </c>
      <c r="C272" s="25" t="n">
        <f aca="false">LOOKUP(A272,'Loan Details'!$J$6:$J$14,'Loan Details'!$K$6:$K$14)</f>
        <v>0.0825</v>
      </c>
      <c r="D272" s="33" t="n">
        <f aca="false">I271</f>
        <v>0</v>
      </c>
      <c r="E272" s="33" t="n">
        <f aca="false">IF(D272&lt;=0,0,MIN(J272,D272+F272))</f>
        <v>0</v>
      </c>
      <c r="F272" s="33" t="n">
        <f aca="false">IF(D272&lt;=0,0,ROUND(D272*C272/12,0))</f>
        <v>0</v>
      </c>
      <c r="G272" s="33" t="n">
        <f aca="false">E272-F272</f>
        <v>0</v>
      </c>
      <c r="H272" s="33" t="n">
        <f aca="false">IF(D272&lt;=0,0,MIN(SUMIF('Loan Details'!$G$6:$G$20,A272,'Loan Details'!$H$6:$H$20),D272-G272))</f>
        <v>0</v>
      </c>
      <c r="I272" s="33" t="n">
        <f aca="false">MAX(0,D272-G272-H272)</f>
        <v>0</v>
      </c>
      <c r="J272" s="33" t="n">
        <f aca="false">IF(D272&lt;=0,0,IF(AND('Loan Details'!$B$10="Keep tenure, change EMI",OR(C272&lt;&gt;C271,H271&gt;0)),ROUND(PMT(C272/12,MAX(1,'Loan Details'!$B$8-A272+1),-D272),0),J271))</f>
        <v>0</v>
      </c>
    </row>
    <row r="273" customFormat="false" ht="15" hidden="false" customHeight="true" outlineLevel="0" collapsed="false">
      <c r="A273" s="24" t="n">
        <f aca="false">269</f>
        <v>269</v>
      </c>
      <c r="B273" s="32" t="n">
        <f aca="false">EDATE('Loan Details'!$B$9,268)</f>
        <v>54306</v>
      </c>
      <c r="C273" s="25" t="n">
        <f aca="false">LOOKUP(A273,'Loan Details'!$J$6:$J$14,'Loan Details'!$K$6:$K$14)</f>
        <v>0.0825</v>
      </c>
      <c r="D273" s="33" t="n">
        <f aca="false">I272</f>
        <v>0</v>
      </c>
      <c r="E273" s="33" t="n">
        <f aca="false">IF(D273&lt;=0,0,MIN(J273,D273+F273))</f>
        <v>0</v>
      </c>
      <c r="F273" s="33" t="n">
        <f aca="false">IF(D273&lt;=0,0,ROUND(D273*C273/12,0))</f>
        <v>0</v>
      </c>
      <c r="G273" s="33" t="n">
        <f aca="false">E273-F273</f>
        <v>0</v>
      </c>
      <c r="H273" s="33" t="n">
        <f aca="false">IF(D273&lt;=0,0,MIN(SUMIF('Loan Details'!$G$6:$G$20,A273,'Loan Details'!$H$6:$H$20),D273-G273))</f>
        <v>0</v>
      </c>
      <c r="I273" s="33" t="n">
        <f aca="false">MAX(0,D273-G273-H273)</f>
        <v>0</v>
      </c>
      <c r="J273" s="33" t="n">
        <f aca="false">IF(D273&lt;=0,0,IF(AND('Loan Details'!$B$10="Keep tenure, change EMI",OR(C273&lt;&gt;C272,H272&gt;0)),ROUND(PMT(C273/12,MAX(1,'Loan Details'!$B$8-A273+1),-D273),0),J272))</f>
        <v>0</v>
      </c>
    </row>
    <row r="274" customFormat="false" ht="15" hidden="false" customHeight="true" outlineLevel="0" collapsed="false">
      <c r="A274" s="24" t="n">
        <f aca="false">270</f>
        <v>270</v>
      </c>
      <c r="B274" s="32" t="n">
        <f aca="false">EDATE('Loan Details'!$B$9,269)</f>
        <v>54336</v>
      </c>
      <c r="C274" s="25" t="n">
        <f aca="false">LOOKUP(A274,'Loan Details'!$J$6:$J$14,'Loan Details'!$K$6:$K$14)</f>
        <v>0.0825</v>
      </c>
      <c r="D274" s="33" t="n">
        <f aca="false">I273</f>
        <v>0</v>
      </c>
      <c r="E274" s="33" t="n">
        <f aca="false">IF(D274&lt;=0,0,MIN(J274,D274+F274))</f>
        <v>0</v>
      </c>
      <c r="F274" s="33" t="n">
        <f aca="false">IF(D274&lt;=0,0,ROUND(D274*C274/12,0))</f>
        <v>0</v>
      </c>
      <c r="G274" s="33" t="n">
        <f aca="false">E274-F274</f>
        <v>0</v>
      </c>
      <c r="H274" s="33" t="n">
        <f aca="false">IF(D274&lt;=0,0,MIN(SUMIF('Loan Details'!$G$6:$G$20,A274,'Loan Details'!$H$6:$H$20),D274-G274))</f>
        <v>0</v>
      </c>
      <c r="I274" s="33" t="n">
        <f aca="false">MAX(0,D274-G274-H274)</f>
        <v>0</v>
      </c>
      <c r="J274" s="33" t="n">
        <f aca="false">IF(D274&lt;=0,0,IF(AND('Loan Details'!$B$10="Keep tenure, change EMI",OR(C274&lt;&gt;C273,H273&gt;0)),ROUND(PMT(C274/12,MAX(1,'Loan Details'!$B$8-A274+1),-D274),0),J273))</f>
        <v>0</v>
      </c>
    </row>
    <row r="275" customFormat="false" ht="15" hidden="false" customHeight="true" outlineLevel="0" collapsed="false">
      <c r="A275" s="24" t="n">
        <f aca="false">271</f>
        <v>271</v>
      </c>
      <c r="B275" s="32" t="n">
        <f aca="false">EDATE('Loan Details'!$B$9,270)</f>
        <v>54367</v>
      </c>
      <c r="C275" s="25" t="n">
        <f aca="false">LOOKUP(A275,'Loan Details'!$J$6:$J$14,'Loan Details'!$K$6:$K$14)</f>
        <v>0.0825</v>
      </c>
      <c r="D275" s="33" t="n">
        <f aca="false">I274</f>
        <v>0</v>
      </c>
      <c r="E275" s="33" t="n">
        <f aca="false">IF(D275&lt;=0,0,MIN(J275,D275+F275))</f>
        <v>0</v>
      </c>
      <c r="F275" s="33" t="n">
        <f aca="false">IF(D275&lt;=0,0,ROUND(D275*C275/12,0))</f>
        <v>0</v>
      </c>
      <c r="G275" s="33" t="n">
        <f aca="false">E275-F275</f>
        <v>0</v>
      </c>
      <c r="H275" s="33" t="n">
        <f aca="false">IF(D275&lt;=0,0,MIN(SUMIF('Loan Details'!$G$6:$G$20,A275,'Loan Details'!$H$6:$H$20),D275-G275))</f>
        <v>0</v>
      </c>
      <c r="I275" s="33" t="n">
        <f aca="false">MAX(0,D275-G275-H275)</f>
        <v>0</v>
      </c>
      <c r="J275" s="33" t="n">
        <f aca="false">IF(D275&lt;=0,0,IF(AND('Loan Details'!$B$10="Keep tenure, change EMI",OR(C275&lt;&gt;C274,H274&gt;0)),ROUND(PMT(C275/12,MAX(1,'Loan Details'!$B$8-A275+1),-D275),0),J274))</f>
        <v>0</v>
      </c>
    </row>
    <row r="276" customFormat="false" ht="15" hidden="false" customHeight="true" outlineLevel="0" collapsed="false">
      <c r="A276" s="24" t="n">
        <f aca="false">272</f>
        <v>272</v>
      </c>
      <c r="B276" s="32" t="n">
        <f aca="false">EDATE('Loan Details'!$B$9,271)</f>
        <v>54397</v>
      </c>
      <c r="C276" s="25" t="n">
        <f aca="false">LOOKUP(A276,'Loan Details'!$J$6:$J$14,'Loan Details'!$K$6:$K$14)</f>
        <v>0.0825</v>
      </c>
      <c r="D276" s="33" t="n">
        <f aca="false">I275</f>
        <v>0</v>
      </c>
      <c r="E276" s="33" t="n">
        <f aca="false">IF(D276&lt;=0,0,MIN(J276,D276+F276))</f>
        <v>0</v>
      </c>
      <c r="F276" s="33" t="n">
        <f aca="false">IF(D276&lt;=0,0,ROUND(D276*C276/12,0))</f>
        <v>0</v>
      </c>
      <c r="G276" s="33" t="n">
        <f aca="false">E276-F276</f>
        <v>0</v>
      </c>
      <c r="H276" s="33" t="n">
        <f aca="false">IF(D276&lt;=0,0,MIN(SUMIF('Loan Details'!$G$6:$G$20,A276,'Loan Details'!$H$6:$H$20),D276-G276))</f>
        <v>0</v>
      </c>
      <c r="I276" s="33" t="n">
        <f aca="false">MAX(0,D276-G276-H276)</f>
        <v>0</v>
      </c>
      <c r="J276" s="33" t="n">
        <f aca="false">IF(D276&lt;=0,0,IF(AND('Loan Details'!$B$10="Keep tenure, change EMI",OR(C276&lt;&gt;C275,H275&gt;0)),ROUND(PMT(C276/12,MAX(1,'Loan Details'!$B$8-A276+1),-D276),0),J275))</f>
        <v>0</v>
      </c>
    </row>
    <row r="277" customFormat="false" ht="15" hidden="false" customHeight="true" outlineLevel="0" collapsed="false">
      <c r="A277" s="24" t="n">
        <f aca="false">273</f>
        <v>273</v>
      </c>
      <c r="B277" s="32" t="n">
        <f aca="false">EDATE('Loan Details'!$B$9,272)</f>
        <v>54428</v>
      </c>
      <c r="C277" s="25" t="n">
        <f aca="false">LOOKUP(A277,'Loan Details'!$J$6:$J$14,'Loan Details'!$K$6:$K$14)</f>
        <v>0.0825</v>
      </c>
      <c r="D277" s="33" t="n">
        <f aca="false">I276</f>
        <v>0</v>
      </c>
      <c r="E277" s="33" t="n">
        <f aca="false">IF(D277&lt;=0,0,MIN(J277,D277+F277))</f>
        <v>0</v>
      </c>
      <c r="F277" s="33" t="n">
        <f aca="false">IF(D277&lt;=0,0,ROUND(D277*C277/12,0))</f>
        <v>0</v>
      </c>
      <c r="G277" s="33" t="n">
        <f aca="false">E277-F277</f>
        <v>0</v>
      </c>
      <c r="H277" s="33" t="n">
        <f aca="false">IF(D277&lt;=0,0,MIN(SUMIF('Loan Details'!$G$6:$G$20,A277,'Loan Details'!$H$6:$H$20),D277-G277))</f>
        <v>0</v>
      </c>
      <c r="I277" s="33" t="n">
        <f aca="false">MAX(0,D277-G277-H277)</f>
        <v>0</v>
      </c>
      <c r="J277" s="33" t="n">
        <f aca="false">IF(D277&lt;=0,0,IF(AND('Loan Details'!$B$10="Keep tenure, change EMI",OR(C277&lt;&gt;C276,H276&gt;0)),ROUND(PMT(C277/12,MAX(1,'Loan Details'!$B$8-A277+1),-D277),0),J276))</f>
        <v>0</v>
      </c>
    </row>
    <row r="278" customFormat="false" ht="15" hidden="false" customHeight="true" outlineLevel="0" collapsed="false">
      <c r="A278" s="24" t="n">
        <f aca="false">274</f>
        <v>274</v>
      </c>
      <c r="B278" s="32" t="n">
        <f aca="false">EDATE('Loan Details'!$B$9,273)</f>
        <v>54459</v>
      </c>
      <c r="C278" s="25" t="n">
        <f aca="false">LOOKUP(A278,'Loan Details'!$J$6:$J$14,'Loan Details'!$K$6:$K$14)</f>
        <v>0.0825</v>
      </c>
      <c r="D278" s="33" t="n">
        <f aca="false">I277</f>
        <v>0</v>
      </c>
      <c r="E278" s="33" t="n">
        <f aca="false">IF(D278&lt;=0,0,MIN(J278,D278+F278))</f>
        <v>0</v>
      </c>
      <c r="F278" s="33" t="n">
        <f aca="false">IF(D278&lt;=0,0,ROUND(D278*C278/12,0))</f>
        <v>0</v>
      </c>
      <c r="G278" s="33" t="n">
        <f aca="false">E278-F278</f>
        <v>0</v>
      </c>
      <c r="H278" s="33" t="n">
        <f aca="false">IF(D278&lt;=0,0,MIN(SUMIF('Loan Details'!$G$6:$G$20,A278,'Loan Details'!$H$6:$H$20),D278-G278))</f>
        <v>0</v>
      </c>
      <c r="I278" s="33" t="n">
        <f aca="false">MAX(0,D278-G278-H278)</f>
        <v>0</v>
      </c>
      <c r="J278" s="33" t="n">
        <f aca="false">IF(D278&lt;=0,0,IF(AND('Loan Details'!$B$10="Keep tenure, change EMI",OR(C278&lt;&gt;C277,H277&gt;0)),ROUND(PMT(C278/12,MAX(1,'Loan Details'!$B$8-A278+1),-D278),0),J277))</f>
        <v>0</v>
      </c>
    </row>
    <row r="279" customFormat="false" ht="15" hidden="false" customHeight="true" outlineLevel="0" collapsed="false">
      <c r="A279" s="24" t="n">
        <f aca="false">275</f>
        <v>275</v>
      </c>
      <c r="B279" s="32" t="n">
        <f aca="false">EDATE('Loan Details'!$B$9,274)</f>
        <v>54487</v>
      </c>
      <c r="C279" s="25" t="n">
        <f aca="false">LOOKUP(A279,'Loan Details'!$J$6:$J$14,'Loan Details'!$K$6:$K$14)</f>
        <v>0.0825</v>
      </c>
      <c r="D279" s="33" t="n">
        <f aca="false">I278</f>
        <v>0</v>
      </c>
      <c r="E279" s="33" t="n">
        <f aca="false">IF(D279&lt;=0,0,MIN(J279,D279+F279))</f>
        <v>0</v>
      </c>
      <c r="F279" s="33" t="n">
        <f aca="false">IF(D279&lt;=0,0,ROUND(D279*C279/12,0))</f>
        <v>0</v>
      </c>
      <c r="G279" s="33" t="n">
        <f aca="false">E279-F279</f>
        <v>0</v>
      </c>
      <c r="H279" s="33" t="n">
        <f aca="false">IF(D279&lt;=0,0,MIN(SUMIF('Loan Details'!$G$6:$G$20,A279,'Loan Details'!$H$6:$H$20),D279-G279))</f>
        <v>0</v>
      </c>
      <c r="I279" s="33" t="n">
        <f aca="false">MAX(0,D279-G279-H279)</f>
        <v>0</v>
      </c>
      <c r="J279" s="33" t="n">
        <f aca="false">IF(D279&lt;=0,0,IF(AND('Loan Details'!$B$10="Keep tenure, change EMI",OR(C279&lt;&gt;C278,H278&gt;0)),ROUND(PMT(C279/12,MAX(1,'Loan Details'!$B$8-A279+1),-D279),0),J278))</f>
        <v>0</v>
      </c>
    </row>
    <row r="280" customFormat="false" ht="15" hidden="false" customHeight="true" outlineLevel="0" collapsed="false">
      <c r="A280" s="24" t="n">
        <f aca="false">276</f>
        <v>276</v>
      </c>
      <c r="B280" s="32" t="n">
        <f aca="false">EDATE('Loan Details'!$B$9,275)</f>
        <v>54518</v>
      </c>
      <c r="C280" s="25" t="n">
        <f aca="false">LOOKUP(A280,'Loan Details'!$J$6:$J$14,'Loan Details'!$K$6:$K$14)</f>
        <v>0.0825</v>
      </c>
      <c r="D280" s="33" t="n">
        <f aca="false">I279</f>
        <v>0</v>
      </c>
      <c r="E280" s="33" t="n">
        <f aca="false">IF(D280&lt;=0,0,MIN(J280,D280+F280))</f>
        <v>0</v>
      </c>
      <c r="F280" s="33" t="n">
        <f aca="false">IF(D280&lt;=0,0,ROUND(D280*C280/12,0))</f>
        <v>0</v>
      </c>
      <c r="G280" s="33" t="n">
        <f aca="false">E280-F280</f>
        <v>0</v>
      </c>
      <c r="H280" s="33" t="n">
        <f aca="false">IF(D280&lt;=0,0,MIN(SUMIF('Loan Details'!$G$6:$G$20,A280,'Loan Details'!$H$6:$H$20),D280-G280))</f>
        <v>0</v>
      </c>
      <c r="I280" s="33" t="n">
        <f aca="false">MAX(0,D280-G280-H280)</f>
        <v>0</v>
      </c>
      <c r="J280" s="33" t="n">
        <f aca="false">IF(D280&lt;=0,0,IF(AND('Loan Details'!$B$10="Keep tenure, change EMI",OR(C280&lt;&gt;C279,H279&gt;0)),ROUND(PMT(C280/12,MAX(1,'Loan Details'!$B$8-A280+1),-D280),0),J279))</f>
        <v>0</v>
      </c>
    </row>
    <row r="281" customFormat="false" ht="15" hidden="false" customHeight="true" outlineLevel="0" collapsed="false">
      <c r="A281" s="24" t="n">
        <f aca="false">277</f>
        <v>277</v>
      </c>
      <c r="B281" s="32" t="n">
        <f aca="false">EDATE('Loan Details'!$B$9,276)</f>
        <v>54548</v>
      </c>
      <c r="C281" s="25" t="n">
        <f aca="false">LOOKUP(A281,'Loan Details'!$J$6:$J$14,'Loan Details'!$K$6:$K$14)</f>
        <v>0.0825</v>
      </c>
      <c r="D281" s="33" t="n">
        <f aca="false">I280</f>
        <v>0</v>
      </c>
      <c r="E281" s="33" t="n">
        <f aca="false">IF(D281&lt;=0,0,MIN(J281,D281+F281))</f>
        <v>0</v>
      </c>
      <c r="F281" s="33" t="n">
        <f aca="false">IF(D281&lt;=0,0,ROUND(D281*C281/12,0))</f>
        <v>0</v>
      </c>
      <c r="G281" s="33" t="n">
        <f aca="false">E281-F281</f>
        <v>0</v>
      </c>
      <c r="H281" s="33" t="n">
        <f aca="false">IF(D281&lt;=0,0,MIN(SUMIF('Loan Details'!$G$6:$G$20,A281,'Loan Details'!$H$6:$H$20),D281-G281))</f>
        <v>0</v>
      </c>
      <c r="I281" s="33" t="n">
        <f aca="false">MAX(0,D281-G281-H281)</f>
        <v>0</v>
      </c>
      <c r="J281" s="33" t="n">
        <f aca="false">IF(D281&lt;=0,0,IF(AND('Loan Details'!$B$10="Keep tenure, change EMI",OR(C281&lt;&gt;C280,H280&gt;0)),ROUND(PMT(C281/12,MAX(1,'Loan Details'!$B$8-A281+1),-D281),0),J280))</f>
        <v>0</v>
      </c>
    </row>
    <row r="282" customFormat="false" ht="15" hidden="false" customHeight="true" outlineLevel="0" collapsed="false">
      <c r="A282" s="24" t="n">
        <f aca="false">278</f>
        <v>278</v>
      </c>
      <c r="B282" s="32" t="n">
        <f aca="false">EDATE('Loan Details'!$B$9,277)</f>
        <v>54579</v>
      </c>
      <c r="C282" s="25" t="n">
        <f aca="false">LOOKUP(A282,'Loan Details'!$J$6:$J$14,'Loan Details'!$K$6:$K$14)</f>
        <v>0.0825</v>
      </c>
      <c r="D282" s="33" t="n">
        <f aca="false">I281</f>
        <v>0</v>
      </c>
      <c r="E282" s="33" t="n">
        <f aca="false">IF(D282&lt;=0,0,MIN(J282,D282+F282))</f>
        <v>0</v>
      </c>
      <c r="F282" s="33" t="n">
        <f aca="false">IF(D282&lt;=0,0,ROUND(D282*C282/12,0))</f>
        <v>0</v>
      </c>
      <c r="G282" s="33" t="n">
        <f aca="false">E282-F282</f>
        <v>0</v>
      </c>
      <c r="H282" s="33" t="n">
        <f aca="false">IF(D282&lt;=0,0,MIN(SUMIF('Loan Details'!$G$6:$G$20,A282,'Loan Details'!$H$6:$H$20),D282-G282))</f>
        <v>0</v>
      </c>
      <c r="I282" s="33" t="n">
        <f aca="false">MAX(0,D282-G282-H282)</f>
        <v>0</v>
      </c>
      <c r="J282" s="33" t="n">
        <f aca="false">IF(D282&lt;=0,0,IF(AND('Loan Details'!$B$10="Keep tenure, change EMI",OR(C282&lt;&gt;C281,H281&gt;0)),ROUND(PMT(C282/12,MAX(1,'Loan Details'!$B$8-A282+1),-D282),0),J281))</f>
        <v>0</v>
      </c>
    </row>
    <row r="283" customFormat="false" ht="15" hidden="false" customHeight="true" outlineLevel="0" collapsed="false">
      <c r="A283" s="24" t="n">
        <f aca="false">279</f>
        <v>279</v>
      </c>
      <c r="B283" s="32" t="n">
        <f aca="false">EDATE('Loan Details'!$B$9,278)</f>
        <v>54609</v>
      </c>
      <c r="C283" s="25" t="n">
        <f aca="false">LOOKUP(A283,'Loan Details'!$J$6:$J$14,'Loan Details'!$K$6:$K$14)</f>
        <v>0.0825</v>
      </c>
      <c r="D283" s="33" t="n">
        <f aca="false">I282</f>
        <v>0</v>
      </c>
      <c r="E283" s="33" t="n">
        <f aca="false">IF(D283&lt;=0,0,MIN(J283,D283+F283))</f>
        <v>0</v>
      </c>
      <c r="F283" s="33" t="n">
        <f aca="false">IF(D283&lt;=0,0,ROUND(D283*C283/12,0))</f>
        <v>0</v>
      </c>
      <c r="G283" s="33" t="n">
        <f aca="false">E283-F283</f>
        <v>0</v>
      </c>
      <c r="H283" s="33" t="n">
        <f aca="false">IF(D283&lt;=0,0,MIN(SUMIF('Loan Details'!$G$6:$G$20,A283,'Loan Details'!$H$6:$H$20),D283-G283))</f>
        <v>0</v>
      </c>
      <c r="I283" s="33" t="n">
        <f aca="false">MAX(0,D283-G283-H283)</f>
        <v>0</v>
      </c>
      <c r="J283" s="33" t="n">
        <f aca="false">IF(D283&lt;=0,0,IF(AND('Loan Details'!$B$10="Keep tenure, change EMI",OR(C283&lt;&gt;C282,H282&gt;0)),ROUND(PMT(C283/12,MAX(1,'Loan Details'!$B$8-A283+1),-D283),0),J282))</f>
        <v>0</v>
      </c>
    </row>
    <row r="284" customFormat="false" ht="15" hidden="false" customHeight="true" outlineLevel="0" collapsed="false">
      <c r="A284" s="24" t="n">
        <f aca="false">280</f>
        <v>280</v>
      </c>
      <c r="B284" s="32" t="n">
        <f aca="false">EDATE('Loan Details'!$B$9,279)</f>
        <v>54640</v>
      </c>
      <c r="C284" s="25" t="n">
        <f aca="false">LOOKUP(A284,'Loan Details'!$J$6:$J$14,'Loan Details'!$K$6:$K$14)</f>
        <v>0.0825</v>
      </c>
      <c r="D284" s="33" t="n">
        <f aca="false">I283</f>
        <v>0</v>
      </c>
      <c r="E284" s="33" t="n">
        <f aca="false">IF(D284&lt;=0,0,MIN(J284,D284+F284))</f>
        <v>0</v>
      </c>
      <c r="F284" s="33" t="n">
        <f aca="false">IF(D284&lt;=0,0,ROUND(D284*C284/12,0))</f>
        <v>0</v>
      </c>
      <c r="G284" s="33" t="n">
        <f aca="false">E284-F284</f>
        <v>0</v>
      </c>
      <c r="H284" s="33" t="n">
        <f aca="false">IF(D284&lt;=0,0,MIN(SUMIF('Loan Details'!$G$6:$G$20,A284,'Loan Details'!$H$6:$H$20),D284-G284))</f>
        <v>0</v>
      </c>
      <c r="I284" s="33" t="n">
        <f aca="false">MAX(0,D284-G284-H284)</f>
        <v>0</v>
      </c>
      <c r="J284" s="33" t="n">
        <f aca="false">IF(D284&lt;=0,0,IF(AND('Loan Details'!$B$10="Keep tenure, change EMI",OR(C284&lt;&gt;C283,H283&gt;0)),ROUND(PMT(C284/12,MAX(1,'Loan Details'!$B$8-A284+1),-D284),0),J283))</f>
        <v>0</v>
      </c>
    </row>
    <row r="285" customFormat="false" ht="15" hidden="false" customHeight="true" outlineLevel="0" collapsed="false">
      <c r="A285" s="24" t="n">
        <f aca="false">281</f>
        <v>281</v>
      </c>
      <c r="B285" s="32" t="n">
        <f aca="false">EDATE('Loan Details'!$B$9,280)</f>
        <v>54671</v>
      </c>
      <c r="C285" s="25" t="n">
        <f aca="false">LOOKUP(A285,'Loan Details'!$J$6:$J$14,'Loan Details'!$K$6:$K$14)</f>
        <v>0.0825</v>
      </c>
      <c r="D285" s="33" t="n">
        <f aca="false">I284</f>
        <v>0</v>
      </c>
      <c r="E285" s="33" t="n">
        <f aca="false">IF(D285&lt;=0,0,MIN(J285,D285+F285))</f>
        <v>0</v>
      </c>
      <c r="F285" s="33" t="n">
        <f aca="false">IF(D285&lt;=0,0,ROUND(D285*C285/12,0))</f>
        <v>0</v>
      </c>
      <c r="G285" s="33" t="n">
        <f aca="false">E285-F285</f>
        <v>0</v>
      </c>
      <c r="H285" s="33" t="n">
        <f aca="false">IF(D285&lt;=0,0,MIN(SUMIF('Loan Details'!$G$6:$G$20,A285,'Loan Details'!$H$6:$H$20),D285-G285))</f>
        <v>0</v>
      </c>
      <c r="I285" s="33" t="n">
        <f aca="false">MAX(0,D285-G285-H285)</f>
        <v>0</v>
      </c>
      <c r="J285" s="33" t="n">
        <f aca="false">IF(D285&lt;=0,0,IF(AND('Loan Details'!$B$10="Keep tenure, change EMI",OR(C285&lt;&gt;C284,H284&gt;0)),ROUND(PMT(C285/12,MAX(1,'Loan Details'!$B$8-A285+1),-D285),0),J284))</f>
        <v>0</v>
      </c>
    </row>
    <row r="286" customFormat="false" ht="15" hidden="false" customHeight="true" outlineLevel="0" collapsed="false">
      <c r="A286" s="24" t="n">
        <f aca="false">282</f>
        <v>282</v>
      </c>
      <c r="B286" s="32" t="n">
        <f aca="false">EDATE('Loan Details'!$B$9,281)</f>
        <v>54701</v>
      </c>
      <c r="C286" s="25" t="n">
        <f aca="false">LOOKUP(A286,'Loan Details'!$J$6:$J$14,'Loan Details'!$K$6:$K$14)</f>
        <v>0.0825</v>
      </c>
      <c r="D286" s="33" t="n">
        <f aca="false">I285</f>
        <v>0</v>
      </c>
      <c r="E286" s="33" t="n">
        <f aca="false">IF(D286&lt;=0,0,MIN(J286,D286+F286))</f>
        <v>0</v>
      </c>
      <c r="F286" s="33" t="n">
        <f aca="false">IF(D286&lt;=0,0,ROUND(D286*C286/12,0))</f>
        <v>0</v>
      </c>
      <c r="G286" s="33" t="n">
        <f aca="false">E286-F286</f>
        <v>0</v>
      </c>
      <c r="H286" s="33" t="n">
        <f aca="false">IF(D286&lt;=0,0,MIN(SUMIF('Loan Details'!$G$6:$G$20,A286,'Loan Details'!$H$6:$H$20),D286-G286))</f>
        <v>0</v>
      </c>
      <c r="I286" s="33" t="n">
        <f aca="false">MAX(0,D286-G286-H286)</f>
        <v>0</v>
      </c>
      <c r="J286" s="33" t="n">
        <f aca="false">IF(D286&lt;=0,0,IF(AND('Loan Details'!$B$10="Keep tenure, change EMI",OR(C286&lt;&gt;C285,H285&gt;0)),ROUND(PMT(C286/12,MAX(1,'Loan Details'!$B$8-A286+1),-D286),0),J285))</f>
        <v>0</v>
      </c>
    </row>
    <row r="287" customFormat="false" ht="15" hidden="false" customHeight="true" outlineLevel="0" collapsed="false">
      <c r="A287" s="24" t="n">
        <f aca="false">283</f>
        <v>283</v>
      </c>
      <c r="B287" s="32" t="n">
        <f aca="false">EDATE('Loan Details'!$B$9,282)</f>
        <v>54732</v>
      </c>
      <c r="C287" s="25" t="n">
        <f aca="false">LOOKUP(A287,'Loan Details'!$J$6:$J$14,'Loan Details'!$K$6:$K$14)</f>
        <v>0.0825</v>
      </c>
      <c r="D287" s="33" t="n">
        <f aca="false">I286</f>
        <v>0</v>
      </c>
      <c r="E287" s="33" t="n">
        <f aca="false">IF(D287&lt;=0,0,MIN(J287,D287+F287))</f>
        <v>0</v>
      </c>
      <c r="F287" s="33" t="n">
        <f aca="false">IF(D287&lt;=0,0,ROUND(D287*C287/12,0))</f>
        <v>0</v>
      </c>
      <c r="G287" s="33" t="n">
        <f aca="false">E287-F287</f>
        <v>0</v>
      </c>
      <c r="H287" s="33" t="n">
        <f aca="false">IF(D287&lt;=0,0,MIN(SUMIF('Loan Details'!$G$6:$G$20,A287,'Loan Details'!$H$6:$H$20),D287-G287))</f>
        <v>0</v>
      </c>
      <c r="I287" s="33" t="n">
        <f aca="false">MAX(0,D287-G287-H287)</f>
        <v>0</v>
      </c>
      <c r="J287" s="33" t="n">
        <f aca="false">IF(D287&lt;=0,0,IF(AND('Loan Details'!$B$10="Keep tenure, change EMI",OR(C287&lt;&gt;C286,H286&gt;0)),ROUND(PMT(C287/12,MAX(1,'Loan Details'!$B$8-A287+1),-D287),0),J286))</f>
        <v>0</v>
      </c>
    </row>
    <row r="288" customFormat="false" ht="15" hidden="false" customHeight="true" outlineLevel="0" collapsed="false">
      <c r="A288" s="24" t="n">
        <f aca="false">284</f>
        <v>284</v>
      </c>
      <c r="B288" s="32" t="n">
        <f aca="false">EDATE('Loan Details'!$B$9,283)</f>
        <v>54762</v>
      </c>
      <c r="C288" s="25" t="n">
        <f aca="false">LOOKUP(A288,'Loan Details'!$J$6:$J$14,'Loan Details'!$K$6:$K$14)</f>
        <v>0.0825</v>
      </c>
      <c r="D288" s="33" t="n">
        <f aca="false">I287</f>
        <v>0</v>
      </c>
      <c r="E288" s="33" t="n">
        <f aca="false">IF(D288&lt;=0,0,MIN(J288,D288+F288))</f>
        <v>0</v>
      </c>
      <c r="F288" s="33" t="n">
        <f aca="false">IF(D288&lt;=0,0,ROUND(D288*C288/12,0))</f>
        <v>0</v>
      </c>
      <c r="G288" s="33" t="n">
        <f aca="false">E288-F288</f>
        <v>0</v>
      </c>
      <c r="H288" s="33" t="n">
        <f aca="false">IF(D288&lt;=0,0,MIN(SUMIF('Loan Details'!$G$6:$G$20,A288,'Loan Details'!$H$6:$H$20),D288-G288))</f>
        <v>0</v>
      </c>
      <c r="I288" s="33" t="n">
        <f aca="false">MAX(0,D288-G288-H288)</f>
        <v>0</v>
      </c>
      <c r="J288" s="33" t="n">
        <f aca="false">IF(D288&lt;=0,0,IF(AND('Loan Details'!$B$10="Keep tenure, change EMI",OR(C288&lt;&gt;C287,H287&gt;0)),ROUND(PMT(C288/12,MAX(1,'Loan Details'!$B$8-A288+1),-D288),0),J287))</f>
        <v>0</v>
      </c>
    </row>
    <row r="289" customFormat="false" ht="15" hidden="false" customHeight="true" outlineLevel="0" collapsed="false">
      <c r="A289" s="24" t="n">
        <f aca="false">285</f>
        <v>285</v>
      </c>
      <c r="B289" s="32" t="n">
        <f aca="false">EDATE('Loan Details'!$B$9,284)</f>
        <v>54793</v>
      </c>
      <c r="C289" s="25" t="n">
        <f aca="false">LOOKUP(A289,'Loan Details'!$J$6:$J$14,'Loan Details'!$K$6:$K$14)</f>
        <v>0.0825</v>
      </c>
      <c r="D289" s="33" t="n">
        <f aca="false">I288</f>
        <v>0</v>
      </c>
      <c r="E289" s="33" t="n">
        <f aca="false">IF(D289&lt;=0,0,MIN(J289,D289+F289))</f>
        <v>0</v>
      </c>
      <c r="F289" s="33" t="n">
        <f aca="false">IF(D289&lt;=0,0,ROUND(D289*C289/12,0))</f>
        <v>0</v>
      </c>
      <c r="G289" s="33" t="n">
        <f aca="false">E289-F289</f>
        <v>0</v>
      </c>
      <c r="H289" s="33" t="n">
        <f aca="false">IF(D289&lt;=0,0,MIN(SUMIF('Loan Details'!$G$6:$G$20,A289,'Loan Details'!$H$6:$H$20),D289-G289))</f>
        <v>0</v>
      </c>
      <c r="I289" s="33" t="n">
        <f aca="false">MAX(0,D289-G289-H289)</f>
        <v>0</v>
      </c>
      <c r="J289" s="33" t="n">
        <f aca="false">IF(D289&lt;=0,0,IF(AND('Loan Details'!$B$10="Keep tenure, change EMI",OR(C289&lt;&gt;C288,H288&gt;0)),ROUND(PMT(C289/12,MAX(1,'Loan Details'!$B$8-A289+1),-D289),0),J288))</f>
        <v>0</v>
      </c>
    </row>
    <row r="290" customFormat="false" ht="15" hidden="false" customHeight="true" outlineLevel="0" collapsed="false">
      <c r="A290" s="24" t="n">
        <f aca="false">286</f>
        <v>286</v>
      </c>
      <c r="B290" s="32" t="n">
        <f aca="false">EDATE('Loan Details'!$B$9,285)</f>
        <v>54824</v>
      </c>
      <c r="C290" s="25" t="n">
        <f aca="false">LOOKUP(A290,'Loan Details'!$J$6:$J$14,'Loan Details'!$K$6:$K$14)</f>
        <v>0.0825</v>
      </c>
      <c r="D290" s="33" t="n">
        <f aca="false">I289</f>
        <v>0</v>
      </c>
      <c r="E290" s="33" t="n">
        <f aca="false">IF(D290&lt;=0,0,MIN(J290,D290+F290))</f>
        <v>0</v>
      </c>
      <c r="F290" s="33" t="n">
        <f aca="false">IF(D290&lt;=0,0,ROUND(D290*C290/12,0))</f>
        <v>0</v>
      </c>
      <c r="G290" s="33" t="n">
        <f aca="false">E290-F290</f>
        <v>0</v>
      </c>
      <c r="H290" s="33" t="n">
        <f aca="false">IF(D290&lt;=0,0,MIN(SUMIF('Loan Details'!$G$6:$G$20,A290,'Loan Details'!$H$6:$H$20),D290-G290))</f>
        <v>0</v>
      </c>
      <c r="I290" s="33" t="n">
        <f aca="false">MAX(0,D290-G290-H290)</f>
        <v>0</v>
      </c>
      <c r="J290" s="33" t="n">
        <f aca="false">IF(D290&lt;=0,0,IF(AND('Loan Details'!$B$10="Keep tenure, change EMI",OR(C290&lt;&gt;C289,H289&gt;0)),ROUND(PMT(C290/12,MAX(1,'Loan Details'!$B$8-A290+1),-D290),0),J289))</f>
        <v>0</v>
      </c>
    </row>
    <row r="291" customFormat="false" ht="15" hidden="false" customHeight="true" outlineLevel="0" collapsed="false">
      <c r="A291" s="24" t="n">
        <f aca="false">287</f>
        <v>287</v>
      </c>
      <c r="B291" s="32" t="n">
        <f aca="false">EDATE('Loan Details'!$B$9,286)</f>
        <v>54852</v>
      </c>
      <c r="C291" s="25" t="n">
        <f aca="false">LOOKUP(A291,'Loan Details'!$J$6:$J$14,'Loan Details'!$K$6:$K$14)</f>
        <v>0.0825</v>
      </c>
      <c r="D291" s="33" t="n">
        <f aca="false">I290</f>
        <v>0</v>
      </c>
      <c r="E291" s="33" t="n">
        <f aca="false">IF(D291&lt;=0,0,MIN(J291,D291+F291))</f>
        <v>0</v>
      </c>
      <c r="F291" s="33" t="n">
        <f aca="false">IF(D291&lt;=0,0,ROUND(D291*C291/12,0))</f>
        <v>0</v>
      </c>
      <c r="G291" s="33" t="n">
        <f aca="false">E291-F291</f>
        <v>0</v>
      </c>
      <c r="H291" s="33" t="n">
        <f aca="false">IF(D291&lt;=0,0,MIN(SUMIF('Loan Details'!$G$6:$G$20,A291,'Loan Details'!$H$6:$H$20),D291-G291))</f>
        <v>0</v>
      </c>
      <c r="I291" s="33" t="n">
        <f aca="false">MAX(0,D291-G291-H291)</f>
        <v>0</v>
      </c>
      <c r="J291" s="33" t="n">
        <f aca="false">IF(D291&lt;=0,0,IF(AND('Loan Details'!$B$10="Keep tenure, change EMI",OR(C291&lt;&gt;C290,H290&gt;0)),ROUND(PMT(C291/12,MAX(1,'Loan Details'!$B$8-A291+1),-D291),0),J290))</f>
        <v>0</v>
      </c>
    </row>
    <row r="292" customFormat="false" ht="15" hidden="false" customHeight="true" outlineLevel="0" collapsed="false">
      <c r="A292" s="24" t="n">
        <f aca="false">288</f>
        <v>288</v>
      </c>
      <c r="B292" s="32" t="n">
        <f aca="false">EDATE('Loan Details'!$B$9,287)</f>
        <v>54883</v>
      </c>
      <c r="C292" s="25" t="n">
        <f aca="false">LOOKUP(A292,'Loan Details'!$J$6:$J$14,'Loan Details'!$K$6:$K$14)</f>
        <v>0.0825</v>
      </c>
      <c r="D292" s="33" t="n">
        <f aca="false">I291</f>
        <v>0</v>
      </c>
      <c r="E292" s="33" t="n">
        <f aca="false">IF(D292&lt;=0,0,MIN(J292,D292+F292))</f>
        <v>0</v>
      </c>
      <c r="F292" s="33" t="n">
        <f aca="false">IF(D292&lt;=0,0,ROUND(D292*C292/12,0))</f>
        <v>0</v>
      </c>
      <c r="G292" s="33" t="n">
        <f aca="false">E292-F292</f>
        <v>0</v>
      </c>
      <c r="H292" s="33" t="n">
        <f aca="false">IF(D292&lt;=0,0,MIN(SUMIF('Loan Details'!$G$6:$G$20,A292,'Loan Details'!$H$6:$H$20),D292-G292))</f>
        <v>0</v>
      </c>
      <c r="I292" s="33" t="n">
        <f aca="false">MAX(0,D292-G292-H292)</f>
        <v>0</v>
      </c>
      <c r="J292" s="33" t="n">
        <f aca="false">IF(D292&lt;=0,0,IF(AND('Loan Details'!$B$10="Keep tenure, change EMI",OR(C292&lt;&gt;C291,H291&gt;0)),ROUND(PMT(C292/12,MAX(1,'Loan Details'!$B$8-A292+1),-D292),0),J291))</f>
        <v>0</v>
      </c>
    </row>
    <row r="293" customFormat="false" ht="15" hidden="false" customHeight="true" outlineLevel="0" collapsed="false">
      <c r="A293" s="24" t="n">
        <f aca="false">289</f>
        <v>289</v>
      </c>
      <c r="B293" s="32" t="n">
        <f aca="false">EDATE('Loan Details'!$B$9,288)</f>
        <v>54913</v>
      </c>
      <c r="C293" s="25" t="n">
        <f aca="false">LOOKUP(A293,'Loan Details'!$J$6:$J$14,'Loan Details'!$K$6:$K$14)</f>
        <v>0.0825</v>
      </c>
      <c r="D293" s="33" t="n">
        <f aca="false">I292</f>
        <v>0</v>
      </c>
      <c r="E293" s="33" t="n">
        <f aca="false">IF(D293&lt;=0,0,MIN(J293,D293+F293))</f>
        <v>0</v>
      </c>
      <c r="F293" s="33" t="n">
        <f aca="false">IF(D293&lt;=0,0,ROUND(D293*C293/12,0))</f>
        <v>0</v>
      </c>
      <c r="G293" s="33" t="n">
        <f aca="false">E293-F293</f>
        <v>0</v>
      </c>
      <c r="H293" s="33" t="n">
        <f aca="false">IF(D293&lt;=0,0,MIN(SUMIF('Loan Details'!$G$6:$G$20,A293,'Loan Details'!$H$6:$H$20),D293-G293))</f>
        <v>0</v>
      </c>
      <c r="I293" s="33" t="n">
        <f aca="false">MAX(0,D293-G293-H293)</f>
        <v>0</v>
      </c>
      <c r="J293" s="33" t="n">
        <f aca="false">IF(D293&lt;=0,0,IF(AND('Loan Details'!$B$10="Keep tenure, change EMI",OR(C293&lt;&gt;C292,H292&gt;0)),ROUND(PMT(C293/12,MAX(1,'Loan Details'!$B$8-A293+1),-D293),0),J292))</f>
        <v>0</v>
      </c>
    </row>
    <row r="294" customFormat="false" ht="15" hidden="false" customHeight="true" outlineLevel="0" collapsed="false">
      <c r="A294" s="24" t="n">
        <f aca="false">290</f>
        <v>290</v>
      </c>
      <c r="B294" s="32" t="n">
        <f aca="false">EDATE('Loan Details'!$B$9,289)</f>
        <v>54944</v>
      </c>
      <c r="C294" s="25" t="n">
        <f aca="false">LOOKUP(A294,'Loan Details'!$J$6:$J$14,'Loan Details'!$K$6:$K$14)</f>
        <v>0.0825</v>
      </c>
      <c r="D294" s="33" t="n">
        <f aca="false">I293</f>
        <v>0</v>
      </c>
      <c r="E294" s="33" t="n">
        <f aca="false">IF(D294&lt;=0,0,MIN(J294,D294+F294))</f>
        <v>0</v>
      </c>
      <c r="F294" s="33" t="n">
        <f aca="false">IF(D294&lt;=0,0,ROUND(D294*C294/12,0))</f>
        <v>0</v>
      </c>
      <c r="G294" s="33" t="n">
        <f aca="false">E294-F294</f>
        <v>0</v>
      </c>
      <c r="H294" s="33" t="n">
        <f aca="false">IF(D294&lt;=0,0,MIN(SUMIF('Loan Details'!$G$6:$G$20,A294,'Loan Details'!$H$6:$H$20),D294-G294))</f>
        <v>0</v>
      </c>
      <c r="I294" s="33" t="n">
        <f aca="false">MAX(0,D294-G294-H294)</f>
        <v>0</v>
      </c>
      <c r="J294" s="33" t="n">
        <f aca="false">IF(D294&lt;=0,0,IF(AND('Loan Details'!$B$10="Keep tenure, change EMI",OR(C294&lt;&gt;C293,H293&gt;0)),ROUND(PMT(C294/12,MAX(1,'Loan Details'!$B$8-A294+1),-D294),0),J293))</f>
        <v>0</v>
      </c>
    </row>
    <row r="295" customFormat="false" ht="15" hidden="false" customHeight="true" outlineLevel="0" collapsed="false">
      <c r="A295" s="24" t="n">
        <f aca="false">291</f>
        <v>291</v>
      </c>
      <c r="B295" s="32" t="n">
        <f aca="false">EDATE('Loan Details'!$B$9,290)</f>
        <v>54974</v>
      </c>
      <c r="C295" s="25" t="n">
        <f aca="false">LOOKUP(A295,'Loan Details'!$J$6:$J$14,'Loan Details'!$K$6:$K$14)</f>
        <v>0.0825</v>
      </c>
      <c r="D295" s="33" t="n">
        <f aca="false">I294</f>
        <v>0</v>
      </c>
      <c r="E295" s="33" t="n">
        <f aca="false">IF(D295&lt;=0,0,MIN(J295,D295+F295))</f>
        <v>0</v>
      </c>
      <c r="F295" s="33" t="n">
        <f aca="false">IF(D295&lt;=0,0,ROUND(D295*C295/12,0))</f>
        <v>0</v>
      </c>
      <c r="G295" s="33" t="n">
        <f aca="false">E295-F295</f>
        <v>0</v>
      </c>
      <c r="H295" s="33" t="n">
        <f aca="false">IF(D295&lt;=0,0,MIN(SUMIF('Loan Details'!$G$6:$G$20,A295,'Loan Details'!$H$6:$H$20),D295-G295))</f>
        <v>0</v>
      </c>
      <c r="I295" s="33" t="n">
        <f aca="false">MAX(0,D295-G295-H295)</f>
        <v>0</v>
      </c>
      <c r="J295" s="33" t="n">
        <f aca="false">IF(D295&lt;=0,0,IF(AND('Loan Details'!$B$10="Keep tenure, change EMI",OR(C295&lt;&gt;C294,H294&gt;0)),ROUND(PMT(C295/12,MAX(1,'Loan Details'!$B$8-A295+1),-D295),0),J294))</f>
        <v>0</v>
      </c>
    </row>
    <row r="296" customFormat="false" ht="15" hidden="false" customHeight="true" outlineLevel="0" collapsed="false">
      <c r="A296" s="24" t="n">
        <f aca="false">292</f>
        <v>292</v>
      </c>
      <c r="B296" s="32" t="n">
        <f aca="false">EDATE('Loan Details'!$B$9,291)</f>
        <v>55005</v>
      </c>
      <c r="C296" s="25" t="n">
        <f aca="false">LOOKUP(A296,'Loan Details'!$J$6:$J$14,'Loan Details'!$K$6:$K$14)</f>
        <v>0.0825</v>
      </c>
      <c r="D296" s="33" t="n">
        <f aca="false">I295</f>
        <v>0</v>
      </c>
      <c r="E296" s="33" t="n">
        <f aca="false">IF(D296&lt;=0,0,MIN(J296,D296+F296))</f>
        <v>0</v>
      </c>
      <c r="F296" s="33" t="n">
        <f aca="false">IF(D296&lt;=0,0,ROUND(D296*C296/12,0))</f>
        <v>0</v>
      </c>
      <c r="G296" s="33" t="n">
        <f aca="false">E296-F296</f>
        <v>0</v>
      </c>
      <c r="H296" s="33" t="n">
        <f aca="false">IF(D296&lt;=0,0,MIN(SUMIF('Loan Details'!$G$6:$G$20,A296,'Loan Details'!$H$6:$H$20),D296-G296))</f>
        <v>0</v>
      </c>
      <c r="I296" s="33" t="n">
        <f aca="false">MAX(0,D296-G296-H296)</f>
        <v>0</v>
      </c>
      <c r="J296" s="33" t="n">
        <f aca="false">IF(D296&lt;=0,0,IF(AND('Loan Details'!$B$10="Keep tenure, change EMI",OR(C296&lt;&gt;C295,H295&gt;0)),ROUND(PMT(C296/12,MAX(1,'Loan Details'!$B$8-A296+1),-D296),0),J295))</f>
        <v>0</v>
      </c>
    </row>
    <row r="297" customFormat="false" ht="15" hidden="false" customHeight="true" outlineLevel="0" collapsed="false">
      <c r="A297" s="24" t="n">
        <f aca="false">293</f>
        <v>293</v>
      </c>
      <c r="B297" s="32" t="n">
        <f aca="false">EDATE('Loan Details'!$B$9,292)</f>
        <v>55036</v>
      </c>
      <c r="C297" s="25" t="n">
        <f aca="false">LOOKUP(A297,'Loan Details'!$J$6:$J$14,'Loan Details'!$K$6:$K$14)</f>
        <v>0.0825</v>
      </c>
      <c r="D297" s="33" t="n">
        <f aca="false">I296</f>
        <v>0</v>
      </c>
      <c r="E297" s="33" t="n">
        <f aca="false">IF(D297&lt;=0,0,MIN(J297,D297+F297))</f>
        <v>0</v>
      </c>
      <c r="F297" s="33" t="n">
        <f aca="false">IF(D297&lt;=0,0,ROUND(D297*C297/12,0))</f>
        <v>0</v>
      </c>
      <c r="G297" s="33" t="n">
        <f aca="false">E297-F297</f>
        <v>0</v>
      </c>
      <c r="H297" s="33" t="n">
        <f aca="false">IF(D297&lt;=0,0,MIN(SUMIF('Loan Details'!$G$6:$G$20,A297,'Loan Details'!$H$6:$H$20),D297-G297))</f>
        <v>0</v>
      </c>
      <c r="I297" s="33" t="n">
        <f aca="false">MAX(0,D297-G297-H297)</f>
        <v>0</v>
      </c>
      <c r="J297" s="33" t="n">
        <f aca="false">IF(D297&lt;=0,0,IF(AND('Loan Details'!$B$10="Keep tenure, change EMI",OR(C297&lt;&gt;C296,H296&gt;0)),ROUND(PMT(C297/12,MAX(1,'Loan Details'!$B$8-A297+1),-D297),0),J296))</f>
        <v>0</v>
      </c>
    </row>
    <row r="298" customFormat="false" ht="15" hidden="false" customHeight="true" outlineLevel="0" collapsed="false">
      <c r="A298" s="24" t="n">
        <f aca="false">294</f>
        <v>294</v>
      </c>
      <c r="B298" s="32" t="n">
        <f aca="false">EDATE('Loan Details'!$B$9,293)</f>
        <v>55066</v>
      </c>
      <c r="C298" s="25" t="n">
        <f aca="false">LOOKUP(A298,'Loan Details'!$J$6:$J$14,'Loan Details'!$K$6:$K$14)</f>
        <v>0.0825</v>
      </c>
      <c r="D298" s="33" t="n">
        <f aca="false">I297</f>
        <v>0</v>
      </c>
      <c r="E298" s="33" t="n">
        <f aca="false">IF(D298&lt;=0,0,MIN(J298,D298+F298))</f>
        <v>0</v>
      </c>
      <c r="F298" s="33" t="n">
        <f aca="false">IF(D298&lt;=0,0,ROUND(D298*C298/12,0))</f>
        <v>0</v>
      </c>
      <c r="G298" s="33" t="n">
        <f aca="false">E298-F298</f>
        <v>0</v>
      </c>
      <c r="H298" s="33" t="n">
        <f aca="false">IF(D298&lt;=0,0,MIN(SUMIF('Loan Details'!$G$6:$G$20,A298,'Loan Details'!$H$6:$H$20),D298-G298))</f>
        <v>0</v>
      </c>
      <c r="I298" s="33" t="n">
        <f aca="false">MAX(0,D298-G298-H298)</f>
        <v>0</v>
      </c>
      <c r="J298" s="33" t="n">
        <f aca="false">IF(D298&lt;=0,0,IF(AND('Loan Details'!$B$10="Keep tenure, change EMI",OR(C298&lt;&gt;C297,H297&gt;0)),ROUND(PMT(C298/12,MAX(1,'Loan Details'!$B$8-A298+1),-D298),0),J297))</f>
        <v>0</v>
      </c>
    </row>
    <row r="299" customFormat="false" ht="15" hidden="false" customHeight="true" outlineLevel="0" collapsed="false">
      <c r="A299" s="24" t="n">
        <f aca="false">295</f>
        <v>295</v>
      </c>
      <c r="B299" s="32" t="n">
        <f aca="false">EDATE('Loan Details'!$B$9,294)</f>
        <v>55097</v>
      </c>
      <c r="C299" s="25" t="n">
        <f aca="false">LOOKUP(A299,'Loan Details'!$J$6:$J$14,'Loan Details'!$K$6:$K$14)</f>
        <v>0.0825</v>
      </c>
      <c r="D299" s="33" t="n">
        <f aca="false">I298</f>
        <v>0</v>
      </c>
      <c r="E299" s="33" t="n">
        <f aca="false">IF(D299&lt;=0,0,MIN(J299,D299+F299))</f>
        <v>0</v>
      </c>
      <c r="F299" s="33" t="n">
        <f aca="false">IF(D299&lt;=0,0,ROUND(D299*C299/12,0))</f>
        <v>0</v>
      </c>
      <c r="G299" s="33" t="n">
        <f aca="false">E299-F299</f>
        <v>0</v>
      </c>
      <c r="H299" s="33" t="n">
        <f aca="false">IF(D299&lt;=0,0,MIN(SUMIF('Loan Details'!$G$6:$G$20,A299,'Loan Details'!$H$6:$H$20),D299-G299))</f>
        <v>0</v>
      </c>
      <c r="I299" s="33" t="n">
        <f aca="false">MAX(0,D299-G299-H299)</f>
        <v>0</v>
      </c>
      <c r="J299" s="33" t="n">
        <f aca="false">IF(D299&lt;=0,0,IF(AND('Loan Details'!$B$10="Keep tenure, change EMI",OR(C299&lt;&gt;C298,H298&gt;0)),ROUND(PMT(C299/12,MAX(1,'Loan Details'!$B$8-A299+1),-D299),0),J298))</f>
        <v>0</v>
      </c>
    </row>
    <row r="300" customFormat="false" ht="15" hidden="false" customHeight="true" outlineLevel="0" collapsed="false">
      <c r="A300" s="24" t="n">
        <f aca="false">296</f>
        <v>296</v>
      </c>
      <c r="B300" s="32" t="n">
        <f aca="false">EDATE('Loan Details'!$B$9,295)</f>
        <v>55127</v>
      </c>
      <c r="C300" s="25" t="n">
        <f aca="false">LOOKUP(A300,'Loan Details'!$J$6:$J$14,'Loan Details'!$K$6:$K$14)</f>
        <v>0.0825</v>
      </c>
      <c r="D300" s="33" t="n">
        <f aca="false">I299</f>
        <v>0</v>
      </c>
      <c r="E300" s="33" t="n">
        <f aca="false">IF(D300&lt;=0,0,MIN(J300,D300+F300))</f>
        <v>0</v>
      </c>
      <c r="F300" s="33" t="n">
        <f aca="false">IF(D300&lt;=0,0,ROUND(D300*C300/12,0))</f>
        <v>0</v>
      </c>
      <c r="G300" s="33" t="n">
        <f aca="false">E300-F300</f>
        <v>0</v>
      </c>
      <c r="H300" s="33" t="n">
        <f aca="false">IF(D300&lt;=0,0,MIN(SUMIF('Loan Details'!$G$6:$G$20,A300,'Loan Details'!$H$6:$H$20),D300-G300))</f>
        <v>0</v>
      </c>
      <c r="I300" s="33" t="n">
        <f aca="false">MAX(0,D300-G300-H300)</f>
        <v>0</v>
      </c>
      <c r="J300" s="33" t="n">
        <f aca="false">IF(D300&lt;=0,0,IF(AND('Loan Details'!$B$10="Keep tenure, change EMI",OR(C300&lt;&gt;C299,H299&gt;0)),ROUND(PMT(C300/12,MAX(1,'Loan Details'!$B$8-A300+1),-D300),0),J299))</f>
        <v>0</v>
      </c>
    </row>
    <row r="301" customFormat="false" ht="15" hidden="false" customHeight="true" outlineLevel="0" collapsed="false">
      <c r="A301" s="24" t="n">
        <f aca="false">297</f>
        <v>297</v>
      </c>
      <c r="B301" s="32" t="n">
        <f aca="false">EDATE('Loan Details'!$B$9,296)</f>
        <v>55158</v>
      </c>
      <c r="C301" s="25" t="n">
        <f aca="false">LOOKUP(A301,'Loan Details'!$J$6:$J$14,'Loan Details'!$K$6:$K$14)</f>
        <v>0.0825</v>
      </c>
      <c r="D301" s="33" t="n">
        <f aca="false">I300</f>
        <v>0</v>
      </c>
      <c r="E301" s="33" t="n">
        <f aca="false">IF(D301&lt;=0,0,MIN(J301,D301+F301))</f>
        <v>0</v>
      </c>
      <c r="F301" s="33" t="n">
        <f aca="false">IF(D301&lt;=0,0,ROUND(D301*C301/12,0))</f>
        <v>0</v>
      </c>
      <c r="G301" s="33" t="n">
        <f aca="false">E301-F301</f>
        <v>0</v>
      </c>
      <c r="H301" s="33" t="n">
        <f aca="false">IF(D301&lt;=0,0,MIN(SUMIF('Loan Details'!$G$6:$G$20,A301,'Loan Details'!$H$6:$H$20),D301-G301))</f>
        <v>0</v>
      </c>
      <c r="I301" s="33" t="n">
        <f aca="false">MAX(0,D301-G301-H301)</f>
        <v>0</v>
      </c>
      <c r="J301" s="33" t="n">
        <f aca="false">IF(D301&lt;=0,0,IF(AND('Loan Details'!$B$10="Keep tenure, change EMI",OR(C301&lt;&gt;C300,H300&gt;0)),ROUND(PMT(C301/12,MAX(1,'Loan Details'!$B$8-A301+1),-D301),0),J300))</f>
        <v>0</v>
      </c>
    </row>
    <row r="302" customFormat="false" ht="15" hidden="false" customHeight="true" outlineLevel="0" collapsed="false">
      <c r="A302" s="24" t="n">
        <f aca="false">298</f>
        <v>298</v>
      </c>
      <c r="B302" s="32" t="n">
        <f aca="false">EDATE('Loan Details'!$B$9,297)</f>
        <v>55189</v>
      </c>
      <c r="C302" s="25" t="n">
        <f aca="false">LOOKUP(A302,'Loan Details'!$J$6:$J$14,'Loan Details'!$K$6:$K$14)</f>
        <v>0.0825</v>
      </c>
      <c r="D302" s="33" t="n">
        <f aca="false">I301</f>
        <v>0</v>
      </c>
      <c r="E302" s="33" t="n">
        <f aca="false">IF(D302&lt;=0,0,MIN(J302,D302+F302))</f>
        <v>0</v>
      </c>
      <c r="F302" s="33" t="n">
        <f aca="false">IF(D302&lt;=0,0,ROUND(D302*C302/12,0))</f>
        <v>0</v>
      </c>
      <c r="G302" s="33" t="n">
        <f aca="false">E302-F302</f>
        <v>0</v>
      </c>
      <c r="H302" s="33" t="n">
        <f aca="false">IF(D302&lt;=0,0,MIN(SUMIF('Loan Details'!$G$6:$G$20,A302,'Loan Details'!$H$6:$H$20),D302-G302))</f>
        <v>0</v>
      </c>
      <c r="I302" s="33" t="n">
        <f aca="false">MAX(0,D302-G302-H302)</f>
        <v>0</v>
      </c>
      <c r="J302" s="33" t="n">
        <f aca="false">IF(D302&lt;=0,0,IF(AND('Loan Details'!$B$10="Keep tenure, change EMI",OR(C302&lt;&gt;C301,H301&gt;0)),ROUND(PMT(C302/12,MAX(1,'Loan Details'!$B$8-A302+1),-D302),0),J301))</f>
        <v>0</v>
      </c>
    </row>
    <row r="303" customFormat="false" ht="15" hidden="false" customHeight="true" outlineLevel="0" collapsed="false">
      <c r="A303" s="24" t="n">
        <f aca="false">299</f>
        <v>299</v>
      </c>
      <c r="B303" s="32" t="n">
        <f aca="false">EDATE('Loan Details'!$B$9,298)</f>
        <v>55217</v>
      </c>
      <c r="C303" s="25" t="n">
        <f aca="false">LOOKUP(A303,'Loan Details'!$J$6:$J$14,'Loan Details'!$K$6:$K$14)</f>
        <v>0.0825</v>
      </c>
      <c r="D303" s="33" t="n">
        <f aca="false">I302</f>
        <v>0</v>
      </c>
      <c r="E303" s="33" t="n">
        <f aca="false">IF(D303&lt;=0,0,MIN(J303,D303+F303))</f>
        <v>0</v>
      </c>
      <c r="F303" s="33" t="n">
        <f aca="false">IF(D303&lt;=0,0,ROUND(D303*C303/12,0))</f>
        <v>0</v>
      </c>
      <c r="G303" s="33" t="n">
        <f aca="false">E303-F303</f>
        <v>0</v>
      </c>
      <c r="H303" s="33" t="n">
        <f aca="false">IF(D303&lt;=0,0,MIN(SUMIF('Loan Details'!$G$6:$G$20,A303,'Loan Details'!$H$6:$H$20),D303-G303))</f>
        <v>0</v>
      </c>
      <c r="I303" s="33" t="n">
        <f aca="false">MAX(0,D303-G303-H303)</f>
        <v>0</v>
      </c>
      <c r="J303" s="33" t="n">
        <f aca="false">IF(D303&lt;=0,0,IF(AND('Loan Details'!$B$10="Keep tenure, change EMI",OR(C303&lt;&gt;C302,H302&gt;0)),ROUND(PMT(C303/12,MAX(1,'Loan Details'!$B$8-A303+1),-D303),0),J302))</f>
        <v>0</v>
      </c>
    </row>
    <row r="304" customFormat="false" ht="15" hidden="false" customHeight="true" outlineLevel="0" collapsed="false">
      <c r="A304" s="24" t="n">
        <f aca="false">300</f>
        <v>300</v>
      </c>
      <c r="B304" s="32" t="n">
        <f aca="false">EDATE('Loan Details'!$B$9,299)</f>
        <v>55248</v>
      </c>
      <c r="C304" s="25" t="n">
        <f aca="false">LOOKUP(A304,'Loan Details'!$J$6:$J$14,'Loan Details'!$K$6:$K$14)</f>
        <v>0.0825</v>
      </c>
      <c r="D304" s="33" t="n">
        <f aca="false">I303</f>
        <v>0</v>
      </c>
      <c r="E304" s="33" t="n">
        <f aca="false">IF(D304&lt;=0,0,MIN(J304,D304+F304))</f>
        <v>0</v>
      </c>
      <c r="F304" s="33" t="n">
        <f aca="false">IF(D304&lt;=0,0,ROUND(D304*C304/12,0))</f>
        <v>0</v>
      </c>
      <c r="G304" s="33" t="n">
        <f aca="false">E304-F304</f>
        <v>0</v>
      </c>
      <c r="H304" s="33" t="n">
        <f aca="false">IF(D304&lt;=0,0,MIN(SUMIF('Loan Details'!$G$6:$G$20,A304,'Loan Details'!$H$6:$H$20),D304-G304))</f>
        <v>0</v>
      </c>
      <c r="I304" s="33" t="n">
        <f aca="false">MAX(0,D304-G304-H304)</f>
        <v>0</v>
      </c>
      <c r="J304" s="33" t="n">
        <f aca="false">IF(D304&lt;=0,0,IF(AND('Loan Details'!$B$10="Keep tenure, change EMI",OR(C304&lt;&gt;C303,H303&gt;0)),ROUND(PMT(C304/12,MAX(1,'Loan Details'!$B$8-A304+1),-D304),0),J303))</f>
        <v>0</v>
      </c>
    </row>
    <row r="305" customFormat="false" ht="15" hidden="false" customHeight="true" outlineLevel="0" collapsed="false">
      <c r="A305" s="24" t="n">
        <f aca="false">301</f>
        <v>301</v>
      </c>
      <c r="B305" s="32" t="n">
        <f aca="false">EDATE('Loan Details'!$B$9,300)</f>
        <v>55278</v>
      </c>
      <c r="C305" s="25" t="n">
        <f aca="false">LOOKUP(A305,'Loan Details'!$J$6:$J$14,'Loan Details'!$K$6:$K$14)</f>
        <v>0.0825</v>
      </c>
      <c r="D305" s="33" t="n">
        <f aca="false">I304</f>
        <v>0</v>
      </c>
      <c r="E305" s="33" t="n">
        <f aca="false">IF(D305&lt;=0,0,MIN(J305,D305+F305))</f>
        <v>0</v>
      </c>
      <c r="F305" s="33" t="n">
        <f aca="false">IF(D305&lt;=0,0,ROUND(D305*C305/12,0))</f>
        <v>0</v>
      </c>
      <c r="G305" s="33" t="n">
        <f aca="false">E305-F305</f>
        <v>0</v>
      </c>
      <c r="H305" s="33" t="n">
        <f aca="false">IF(D305&lt;=0,0,MIN(SUMIF('Loan Details'!$G$6:$G$20,A305,'Loan Details'!$H$6:$H$20),D305-G305))</f>
        <v>0</v>
      </c>
      <c r="I305" s="33" t="n">
        <f aca="false">MAX(0,D305-G305-H305)</f>
        <v>0</v>
      </c>
      <c r="J305" s="33" t="n">
        <f aca="false">IF(D305&lt;=0,0,IF(AND('Loan Details'!$B$10="Keep tenure, change EMI",OR(C305&lt;&gt;C304,H304&gt;0)),ROUND(PMT(C305/12,MAX(1,'Loan Details'!$B$8-A305+1),-D305),0),J304))</f>
        <v>0</v>
      </c>
    </row>
    <row r="306" customFormat="false" ht="15" hidden="false" customHeight="true" outlineLevel="0" collapsed="false">
      <c r="A306" s="24" t="n">
        <f aca="false">302</f>
        <v>302</v>
      </c>
      <c r="B306" s="32" t="n">
        <f aca="false">EDATE('Loan Details'!$B$9,301)</f>
        <v>55309</v>
      </c>
      <c r="C306" s="25" t="n">
        <f aca="false">LOOKUP(A306,'Loan Details'!$J$6:$J$14,'Loan Details'!$K$6:$K$14)</f>
        <v>0.0825</v>
      </c>
      <c r="D306" s="33" t="n">
        <f aca="false">I305</f>
        <v>0</v>
      </c>
      <c r="E306" s="33" t="n">
        <f aca="false">IF(D306&lt;=0,0,MIN(J306,D306+F306))</f>
        <v>0</v>
      </c>
      <c r="F306" s="33" t="n">
        <f aca="false">IF(D306&lt;=0,0,ROUND(D306*C306/12,0))</f>
        <v>0</v>
      </c>
      <c r="G306" s="33" t="n">
        <f aca="false">E306-F306</f>
        <v>0</v>
      </c>
      <c r="H306" s="33" t="n">
        <f aca="false">IF(D306&lt;=0,0,MIN(SUMIF('Loan Details'!$G$6:$G$20,A306,'Loan Details'!$H$6:$H$20),D306-G306))</f>
        <v>0</v>
      </c>
      <c r="I306" s="33" t="n">
        <f aca="false">MAX(0,D306-G306-H306)</f>
        <v>0</v>
      </c>
      <c r="J306" s="33" t="n">
        <f aca="false">IF(D306&lt;=0,0,IF(AND('Loan Details'!$B$10="Keep tenure, change EMI",OR(C306&lt;&gt;C305,H305&gt;0)),ROUND(PMT(C306/12,MAX(1,'Loan Details'!$B$8-A306+1),-D306),0),J305))</f>
        <v>0</v>
      </c>
    </row>
    <row r="307" customFormat="false" ht="15" hidden="false" customHeight="true" outlineLevel="0" collapsed="false">
      <c r="A307" s="24" t="n">
        <f aca="false">303</f>
        <v>303</v>
      </c>
      <c r="B307" s="32" t="n">
        <f aca="false">EDATE('Loan Details'!$B$9,302)</f>
        <v>55339</v>
      </c>
      <c r="C307" s="25" t="n">
        <f aca="false">LOOKUP(A307,'Loan Details'!$J$6:$J$14,'Loan Details'!$K$6:$K$14)</f>
        <v>0.0825</v>
      </c>
      <c r="D307" s="33" t="n">
        <f aca="false">I306</f>
        <v>0</v>
      </c>
      <c r="E307" s="33" t="n">
        <f aca="false">IF(D307&lt;=0,0,MIN(J307,D307+F307))</f>
        <v>0</v>
      </c>
      <c r="F307" s="33" t="n">
        <f aca="false">IF(D307&lt;=0,0,ROUND(D307*C307/12,0))</f>
        <v>0</v>
      </c>
      <c r="G307" s="33" t="n">
        <f aca="false">E307-F307</f>
        <v>0</v>
      </c>
      <c r="H307" s="33" t="n">
        <f aca="false">IF(D307&lt;=0,0,MIN(SUMIF('Loan Details'!$G$6:$G$20,A307,'Loan Details'!$H$6:$H$20),D307-G307))</f>
        <v>0</v>
      </c>
      <c r="I307" s="33" t="n">
        <f aca="false">MAX(0,D307-G307-H307)</f>
        <v>0</v>
      </c>
      <c r="J307" s="33" t="n">
        <f aca="false">IF(D307&lt;=0,0,IF(AND('Loan Details'!$B$10="Keep tenure, change EMI",OR(C307&lt;&gt;C306,H306&gt;0)),ROUND(PMT(C307/12,MAX(1,'Loan Details'!$B$8-A307+1),-D307),0),J306))</f>
        <v>0</v>
      </c>
    </row>
    <row r="308" customFormat="false" ht="15" hidden="false" customHeight="true" outlineLevel="0" collapsed="false">
      <c r="A308" s="24" t="n">
        <f aca="false">304</f>
        <v>304</v>
      </c>
      <c r="B308" s="32" t="n">
        <f aca="false">EDATE('Loan Details'!$B$9,303)</f>
        <v>55370</v>
      </c>
      <c r="C308" s="25" t="n">
        <f aca="false">LOOKUP(A308,'Loan Details'!$J$6:$J$14,'Loan Details'!$K$6:$K$14)</f>
        <v>0.0825</v>
      </c>
      <c r="D308" s="33" t="n">
        <f aca="false">I307</f>
        <v>0</v>
      </c>
      <c r="E308" s="33" t="n">
        <f aca="false">IF(D308&lt;=0,0,MIN(J308,D308+F308))</f>
        <v>0</v>
      </c>
      <c r="F308" s="33" t="n">
        <f aca="false">IF(D308&lt;=0,0,ROUND(D308*C308/12,0))</f>
        <v>0</v>
      </c>
      <c r="G308" s="33" t="n">
        <f aca="false">E308-F308</f>
        <v>0</v>
      </c>
      <c r="H308" s="33" t="n">
        <f aca="false">IF(D308&lt;=0,0,MIN(SUMIF('Loan Details'!$G$6:$G$20,A308,'Loan Details'!$H$6:$H$20),D308-G308))</f>
        <v>0</v>
      </c>
      <c r="I308" s="33" t="n">
        <f aca="false">MAX(0,D308-G308-H308)</f>
        <v>0</v>
      </c>
      <c r="J308" s="33" t="n">
        <f aca="false">IF(D308&lt;=0,0,IF(AND('Loan Details'!$B$10="Keep tenure, change EMI",OR(C308&lt;&gt;C307,H307&gt;0)),ROUND(PMT(C308/12,MAX(1,'Loan Details'!$B$8-A308+1),-D308),0),J307))</f>
        <v>0</v>
      </c>
    </row>
    <row r="309" customFormat="false" ht="15" hidden="false" customHeight="true" outlineLevel="0" collapsed="false">
      <c r="A309" s="24" t="n">
        <f aca="false">305</f>
        <v>305</v>
      </c>
      <c r="B309" s="32" t="n">
        <f aca="false">EDATE('Loan Details'!$B$9,304)</f>
        <v>55401</v>
      </c>
      <c r="C309" s="25" t="n">
        <f aca="false">LOOKUP(A309,'Loan Details'!$J$6:$J$14,'Loan Details'!$K$6:$K$14)</f>
        <v>0.0825</v>
      </c>
      <c r="D309" s="33" t="n">
        <f aca="false">I308</f>
        <v>0</v>
      </c>
      <c r="E309" s="33" t="n">
        <f aca="false">IF(D309&lt;=0,0,MIN(J309,D309+F309))</f>
        <v>0</v>
      </c>
      <c r="F309" s="33" t="n">
        <f aca="false">IF(D309&lt;=0,0,ROUND(D309*C309/12,0))</f>
        <v>0</v>
      </c>
      <c r="G309" s="33" t="n">
        <f aca="false">E309-F309</f>
        <v>0</v>
      </c>
      <c r="H309" s="33" t="n">
        <f aca="false">IF(D309&lt;=0,0,MIN(SUMIF('Loan Details'!$G$6:$G$20,A309,'Loan Details'!$H$6:$H$20),D309-G309))</f>
        <v>0</v>
      </c>
      <c r="I309" s="33" t="n">
        <f aca="false">MAX(0,D309-G309-H309)</f>
        <v>0</v>
      </c>
      <c r="J309" s="33" t="n">
        <f aca="false">IF(D309&lt;=0,0,IF(AND('Loan Details'!$B$10="Keep tenure, change EMI",OR(C309&lt;&gt;C308,H308&gt;0)),ROUND(PMT(C309/12,MAX(1,'Loan Details'!$B$8-A309+1),-D309),0),J308))</f>
        <v>0</v>
      </c>
    </row>
    <row r="310" customFormat="false" ht="15" hidden="false" customHeight="true" outlineLevel="0" collapsed="false">
      <c r="A310" s="24" t="n">
        <f aca="false">306</f>
        <v>306</v>
      </c>
      <c r="B310" s="32" t="n">
        <f aca="false">EDATE('Loan Details'!$B$9,305)</f>
        <v>55431</v>
      </c>
      <c r="C310" s="25" t="n">
        <f aca="false">LOOKUP(A310,'Loan Details'!$J$6:$J$14,'Loan Details'!$K$6:$K$14)</f>
        <v>0.0825</v>
      </c>
      <c r="D310" s="33" t="n">
        <f aca="false">I309</f>
        <v>0</v>
      </c>
      <c r="E310" s="33" t="n">
        <f aca="false">IF(D310&lt;=0,0,MIN(J310,D310+F310))</f>
        <v>0</v>
      </c>
      <c r="F310" s="33" t="n">
        <f aca="false">IF(D310&lt;=0,0,ROUND(D310*C310/12,0))</f>
        <v>0</v>
      </c>
      <c r="G310" s="33" t="n">
        <f aca="false">E310-F310</f>
        <v>0</v>
      </c>
      <c r="H310" s="33" t="n">
        <f aca="false">IF(D310&lt;=0,0,MIN(SUMIF('Loan Details'!$G$6:$G$20,A310,'Loan Details'!$H$6:$H$20),D310-G310))</f>
        <v>0</v>
      </c>
      <c r="I310" s="33" t="n">
        <f aca="false">MAX(0,D310-G310-H310)</f>
        <v>0</v>
      </c>
      <c r="J310" s="33" t="n">
        <f aca="false">IF(D310&lt;=0,0,IF(AND('Loan Details'!$B$10="Keep tenure, change EMI",OR(C310&lt;&gt;C309,H309&gt;0)),ROUND(PMT(C310/12,MAX(1,'Loan Details'!$B$8-A310+1),-D310),0),J309))</f>
        <v>0</v>
      </c>
    </row>
    <row r="311" customFormat="false" ht="15" hidden="false" customHeight="true" outlineLevel="0" collapsed="false">
      <c r="A311" s="24" t="n">
        <f aca="false">307</f>
        <v>307</v>
      </c>
      <c r="B311" s="32" t="n">
        <f aca="false">EDATE('Loan Details'!$B$9,306)</f>
        <v>55462</v>
      </c>
      <c r="C311" s="25" t="n">
        <f aca="false">LOOKUP(A311,'Loan Details'!$J$6:$J$14,'Loan Details'!$K$6:$K$14)</f>
        <v>0.0825</v>
      </c>
      <c r="D311" s="33" t="n">
        <f aca="false">I310</f>
        <v>0</v>
      </c>
      <c r="E311" s="33" t="n">
        <f aca="false">IF(D311&lt;=0,0,MIN(J311,D311+F311))</f>
        <v>0</v>
      </c>
      <c r="F311" s="33" t="n">
        <f aca="false">IF(D311&lt;=0,0,ROUND(D311*C311/12,0))</f>
        <v>0</v>
      </c>
      <c r="G311" s="33" t="n">
        <f aca="false">E311-F311</f>
        <v>0</v>
      </c>
      <c r="H311" s="33" t="n">
        <f aca="false">IF(D311&lt;=0,0,MIN(SUMIF('Loan Details'!$G$6:$G$20,A311,'Loan Details'!$H$6:$H$20),D311-G311))</f>
        <v>0</v>
      </c>
      <c r="I311" s="33" t="n">
        <f aca="false">MAX(0,D311-G311-H311)</f>
        <v>0</v>
      </c>
      <c r="J311" s="33" t="n">
        <f aca="false">IF(D311&lt;=0,0,IF(AND('Loan Details'!$B$10="Keep tenure, change EMI",OR(C311&lt;&gt;C310,H310&gt;0)),ROUND(PMT(C311/12,MAX(1,'Loan Details'!$B$8-A311+1),-D311),0),J310))</f>
        <v>0</v>
      </c>
    </row>
    <row r="312" customFormat="false" ht="15" hidden="false" customHeight="true" outlineLevel="0" collapsed="false">
      <c r="A312" s="24" t="n">
        <f aca="false">308</f>
        <v>308</v>
      </c>
      <c r="B312" s="32" t="n">
        <f aca="false">EDATE('Loan Details'!$B$9,307)</f>
        <v>55492</v>
      </c>
      <c r="C312" s="25" t="n">
        <f aca="false">LOOKUP(A312,'Loan Details'!$J$6:$J$14,'Loan Details'!$K$6:$K$14)</f>
        <v>0.0825</v>
      </c>
      <c r="D312" s="33" t="n">
        <f aca="false">I311</f>
        <v>0</v>
      </c>
      <c r="E312" s="33" t="n">
        <f aca="false">IF(D312&lt;=0,0,MIN(J312,D312+F312))</f>
        <v>0</v>
      </c>
      <c r="F312" s="33" t="n">
        <f aca="false">IF(D312&lt;=0,0,ROUND(D312*C312/12,0))</f>
        <v>0</v>
      </c>
      <c r="G312" s="33" t="n">
        <f aca="false">E312-F312</f>
        <v>0</v>
      </c>
      <c r="H312" s="33" t="n">
        <f aca="false">IF(D312&lt;=0,0,MIN(SUMIF('Loan Details'!$G$6:$G$20,A312,'Loan Details'!$H$6:$H$20),D312-G312))</f>
        <v>0</v>
      </c>
      <c r="I312" s="33" t="n">
        <f aca="false">MAX(0,D312-G312-H312)</f>
        <v>0</v>
      </c>
      <c r="J312" s="33" t="n">
        <f aca="false">IF(D312&lt;=0,0,IF(AND('Loan Details'!$B$10="Keep tenure, change EMI",OR(C312&lt;&gt;C311,H311&gt;0)),ROUND(PMT(C312/12,MAX(1,'Loan Details'!$B$8-A312+1),-D312),0),J311))</f>
        <v>0</v>
      </c>
    </row>
    <row r="313" customFormat="false" ht="15" hidden="false" customHeight="true" outlineLevel="0" collapsed="false">
      <c r="A313" s="24" t="n">
        <f aca="false">309</f>
        <v>309</v>
      </c>
      <c r="B313" s="32" t="n">
        <f aca="false">EDATE('Loan Details'!$B$9,308)</f>
        <v>55523</v>
      </c>
      <c r="C313" s="25" t="n">
        <f aca="false">LOOKUP(A313,'Loan Details'!$J$6:$J$14,'Loan Details'!$K$6:$K$14)</f>
        <v>0.0825</v>
      </c>
      <c r="D313" s="33" t="n">
        <f aca="false">I312</f>
        <v>0</v>
      </c>
      <c r="E313" s="33" t="n">
        <f aca="false">IF(D313&lt;=0,0,MIN(J313,D313+F313))</f>
        <v>0</v>
      </c>
      <c r="F313" s="33" t="n">
        <f aca="false">IF(D313&lt;=0,0,ROUND(D313*C313/12,0))</f>
        <v>0</v>
      </c>
      <c r="G313" s="33" t="n">
        <f aca="false">E313-F313</f>
        <v>0</v>
      </c>
      <c r="H313" s="33" t="n">
        <f aca="false">IF(D313&lt;=0,0,MIN(SUMIF('Loan Details'!$G$6:$G$20,A313,'Loan Details'!$H$6:$H$20),D313-G313))</f>
        <v>0</v>
      </c>
      <c r="I313" s="33" t="n">
        <f aca="false">MAX(0,D313-G313-H313)</f>
        <v>0</v>
      </c>
      <c r="J313" s="33" t="n">
        <f aca="false">IF(D313&lt;=0,0,IF(AND('Loan Details'!$B$10="Keep tenure, change EMI",OR(C313&lt;&gt;C312,H312&gt;0)),ROUND(PMT(C313/12,MAX(1,'Loan Details'!$B$8-A313+1),-D313),0),J312))</f>
        <v>0</v>
      </c>
    </row>
    <row r="314" customFormat="false" ht="15" hidden="false" customHeight="true" outlineLevel="0" collapsed="false">
      <c r="A314" s="24" t="n">
        <f aca="false">310</f>
        <v>310</v>
      </c>
      <c r="B314" s="32" t="n">
        <f aca="false">EDATE('Loan Details'!$B$9,309)</f>
        <v>55554</v>
      </c>
      <c r="C314" s="25" t="n">
        <f aca="false">LOOKUP(A314,'Loan Details'!$J$6:$J$14,'Loan Details'!$K$6:$K$14)</f>
        <v>0.0825</v>
      </c>
      <c r="D314" s="33" t="n">
        <f aca="false">I313</f>
        <v>0</v>
      </c>
      <c r="E314" s="33" t="n">
        <f aca="false">IF(D314&lt;=0,0,MIN(J314,D314+F314))</f>
        <v>0</v>
      </c>
      <c r="F314" s="33" t="n">
        <f aca="false">IF(D314&lt;=0,0,ROUND(D314*C314/12,0))</f>
        <v>0</v>
      </c>
      <c r="G314" s="33" t="n">
        <f aca="false">E314-F314</f>
        <v>0</v>
      </c>
      <c r="H314" s="33" t="n">
        <f aca="false">IF(D314&lt;=0,0,MIN(SUMIF('Loan Details'!$G$6:$G$20,A314,'Loan Details'!$H$6:$H$20),D314-G314))</f>
        <v>0</v>
      </c>
      <c r="I314" s="33" t="n">
        <f aca="false">MAX(0,D314-G314-H314)</f>
        <v>0</v>
      </c>
      <c r="J314" s="33" t="n">
        <f aca="false">IF(D314&lt;=0,0,IF(AND('Loan Details'!$B$10="Keep tenure, change EMI",OR(C314&lt;&gt;C313,H313&gt;0)),ROUND(PMT(C314/12,MAX(1,'Loan Details'!$B$8-A314+1),-D314),0),J313))</f>
        <v>0</v>
      </c>
    </row>
    <row r="315" customFormat="false" ht="15" hidden="false" customHeight="true" outlineLevel="0" collapsed="false">
      <c r="A315" s="24" t="n">
        <f aca="false">311</f>
        <v>311</v>
      </c>
      <c r="B315" s="32" t="n">
        <f aca="false">EDATE('Loan Details'!$B$9,310)</f>
        <v>55583</v>
      </c>
      <c r="C315" s="25" t="n">
        <f aca="false">LOOKUP(A315,'Loan Details'!$J$6:$J$14,'Loan Details'!$K$6:$K$14)</f>
        <v>0.0825</v>
      </c>
      <c r="D315" s="33" t="n">
        <f aca="false">I314</f>
        <v>0</v>
      </c>
      <c r="E315" s="33" t="n">
        <f aca="false">IF(D315&lt;=0,0,MIN(J315,D315+F315))</f>
        <v>0</v>
      </c>
      <c r="F315" s="33" t="n">
        <f aca="false">IF(D315&lt;=0,0,ROUND(D315*C315/12,0))</f>
        <v>0</v>
      </c>
      <c r="G315" s="33" t="n">
        <f aca="false">E315-F315</f>
        <v>0</v>
      </c>
      <c r="H315" s="33" t="n">
        <f aca="false">IF(D315&lt;=0,0,MIN(SUMIF('Loan Details'!$G$6:$G$20,A315,'Loan Details'!$H$6:$H$20),D315-G315))</f>
        <v>0</v>
      </c>
      <c r="I315" s="33" t="n">
        <f aca="false">MAX(0,D315-G315-H315)</f>
        <v>0</v>
      </c>
      <c r="J315" s="33" t="n">
        <f aca="false">IF(D315&lt;=0,0,IF(AND('Loan Details'!$B$10="Keep tenure, change EMI",OR(C315&lt;&gt;C314,H314&gt;0)),ROUND(PMT(C315/12,MAX(1,'Loan Details'!$B$8-A315+1),-D315),0),J314))</f>
        <v>0</v>
      </c>
    </row>
    <row r="316" customFormat="false" ht="15" hidden="false" customHeight="true" outlineLevel="0" collapsed="false">
      <c r="A316" s="24" t="n">
        <f aca="false">312</f>
        <v>312</v>
      </c>
      <c r="B316" s="32" t="n">
        <f aca="false">EDATE('Loan Details'!$B$9,311)</f>
        <v>55614</v>
      </c>
      <c r="C316" s="25" t="n">
        <f aca="false">LOOKUP(A316,'Loan Details'!$J$6:$J$14,'Loan Details'!$K$6:$K$14)</f>
        <v>0.0825</v>
      </c>
      <c r="D316" s="33" t="n">
        <f aca="false">I315</f>
        <v>0</v>
      </c>
      <c r="E316" s="33" t="n">
        <f aca="false">IF(D316&lt;=0,0,MIN(J316,D316+F316))</f>
        <v>0</v>
      </c>
      <c r="F316" s="33" t="n">
        <f aca="false">IF(D316&lt;=0,0,ROUND(D316*C316/12,0))</f>
        <v>0</v>
      </c>
      <c r="G316" s="33" t="n">
        <f aca="false">E316-F316</f>
        <v>0</v>
      </c>
      <c r="H316" s="33" t="n">
        <f aca="false">IF(D316&lt;=0,0,MIN(SUMIF('Loan Details'!$G$6:$G$20,A316,'Loan Details'!$H$6:$H$20),D316-G316))</f>
        <v>0</v>
      </c>
      <c r="I316" s="33" t="n">
        <f aca="false">MAX(0,D316-G316-H316)</f>
        <v>0</v>
      </c>
      <c r="J316" s="33" t="n">
        <f aca="false">IF(D316&lt;=0,0,IF(AND('Loan Details'!$B$10="Keep tenure, change EMI",OR(C316&lt;&gt;C315,H315&gt;0)),ROUND(PMT(C316/12,MAX(1,'Loan Details'!$B$8-A316+1),-D316),0),J315))</f>
        <v>0</v>
      </c>
    </row>
    <row r="317" customFormat="false" ht="15" hidden="false" customHeight="true" outlineLevel="0" collapsed="false">
      <c r="A317" s="24" t="n">
        <f aca="false">313</f>
        <v>313</v>
      </c>
      <c r="B317" s="32" t="n">
        <f aca="false">EDATE('Loan Details'!$B$9,312)</f>
        <v>55644</v>
      </c>
      <c r="C317" s="25" t="n">
        <f aca="false">LOOKUP(A317,'Loan Details'!$J$6:$J$14,'Loan Details'!$K$6:$K$14)</f>
        <v>0.0825</v>
      </c>
      <c r="D317" s="33" t="n">
        <f aca="false">I316</f>
        <v>0</v>
      </c>
      <c r="E317" s="33" t="n">
        <f aca="false">IF(D317&lt;=0,0,MIN(J317,D317+F317))</f>
        <v>0</v>
      </c>
      <c r="F317" s="33" t="n">
        <f aca="false">IF(D317&lt;=0,0,ROUND(D317*C317/12,0))</f>
        <v>0</v>
      </c>
      <c r="G317" s="33" t="n">
        <f aca="false">E317-F317</f>
        <v>0</v>
      </c>
      <c r="H317" s="33" t="n">
        <f aca="false">IF(D317&lt;=0,0,MIN(SUMIF('Loan Details'!$G$6:$G$20,A317,'Loan Details'!$H$6:$H$20),D317-G317))</f>
        <v>0</v>
      </c>
      <c r="I317" s="33" t="n">
        <f aca="false">MAX(0,D317-G317-H317)</f>
        <v>0</v>
      </c>
      <c r="J317" s="33" t="n">
        <f aca="false">IF(D317&lt;=0,0,IF(AND('Loan Details'!$B$10="Keep tenure, change EMI",OR(C317&lt;&gt;C316,H316&gt;0)),ROUND(PMT(C317/12,MAX(1,'Loan Details'!$B$8-A317+1),-D317),0),J316))</f>
        <v>0</v>
      </c>
    </row>
    <row r="318" customFormat="false" ht="15" hidden="false" customHeight="true" outlineLevel="0" collapsed="false">
      <c r="A318" s="24" t="n">
        <f aca="false">314</f>
        <v>314</v>
      </c>
      <c r="B318" s="32" t="n">
        <f aca="false">EDATE('Loan Details'!$B$9,313)</f>
        <v>55675</v>
      </c>
      <c r="C318" s="25" t="n">
        <f aca="false">LOOKUP(A318,'Loan Details'!$J$6:$J$14,'Loan Details'!$K$6:$K$14)</f>
        <v>0.0825</v>
      </c>
      <c r="D318" s="33" t="n">
        <f aca="false">I317</f>
        <v>0</v>
      </c>
      <c r="E318" s="33" t="n">
        <f aca="false">IF(D318&lt;=0,0,MIN(J318,D318+F318))</f>
        <v>0</v>
      </c>
      <c r="F318" s="33" t="n">
        <f aca="false">IF(D318&lt;=0,0,ROUND(D318*C318/12,0))</f>
        <v>0</v>
      </c>
      <c r="G318" s="33" t="n">
        <f aca="false">E318-F318</f>
        <v>0</v>
      </c>
      <c r="H318" s="33" t="n">
        <f aca="false">IF(D318&lt;=0,0,MIN(SUMIF('Loan Details'!$G$6:$G$20,A318,'Loan Details'!$H$6:$H$20),D318-G318))</f>
        <v>0</v>
      </c>
      <c r="I318" s="33" t="n">
        <f aca="false">MAX(0,D318-G318-H318)</f>
        <v>0</v>
      </c>
      <c r="J318" s="33" t="n">
        <f aca="false">IF(D318&lt;=0,0,IF(AND('Loan Details'!$B$10="Keep tenure, change EMI",OR(C318&lt;&gt;C317,H317&gt;0)),ROUND(PMT(C318/12,MAX(1,'Loan Details'!$B$8-A318+1),-D318),0),J317))</f>
        <v>0</v>
      </c>
    </row>
    <row r="319" customFormat="false" ht="15" hidden="false" customHeight="true" outlineLevel="0" collapsed="false">
      <c r="A319" s="24" t="n">
        <f aca="false">315</f>
        <v>315</v>
      </c>
      <c r="B319" s="32" t="n">
        <f aca="false">EDATE('Loan Details'!$B$9,314)</f>
        <v>55705</v>
      </c>
      <c r="C319" s="25" t="n">
        <f aca="false">LOOKUP(A319,'Loan Details'!$J$6:$J$14,'Loan Details'!$K$6:$K$14)</f>
        <v>0.0825</v>
      </c>
      <c r="D319" s="33" t="n">
        <f aca="false">I318</f>
        <v>0</v>
      </c>
      <c r="E319" s="33" t="n">
        <f aca="false">IF(D319&lt;=0,0,MIN(J319,D319+F319))</f>
        <v>0</v>
      </c>
      <c r="F319" s="33" t="n">
        <f aca="false">IF(D319&lt;=0,0,ROUND(D319*C319/12,0))</f>
        <v>0</v>
      </c>
      <c r="G319" s="33" t="n">
        <f aca="false">E319-F319</f>
        <v>0</v>
      </c>
      <c r="H319" s="33" t="n">
        <f aca="false">IF(D319&lt;=0,0,MIN(SUMIF('Loan Details'!$G$6:$G$20,A319,'Loan Details'!$H$6:$H$20),D319-G319))</f>
        <v>0</v>
      </c>
      <c r="I319" s="33" t="n">
        <f aca="false">MAX(0,D319-G319-H319)</f>
        <v>0</v>
      </c>
      <c r="J319" s="33" t="n">
        <f aca="false">IF(D319&lt;=0,0,IF(AND('Loan Details'!$B$10="Keep tenure, change EMI",OR(C319&lt;&gt;C318,H318&gt;0)),ROUND(PMT(C319/12,MAX(1,'Loan Details'!$B$8-A319+1),-D319),0),J318))</f>
        <v>0</v>
      </c>
    </row>
    <row r="320" customFormat="false" ht="15" hidden="false" customHeight="true" outlineLevel="0" collapsed="false">
      <c r="A320" s="24" t="n">
        <f aca="false">316</f>
        <v>316</v>
      </c>
      <c r="B320" s="32" t="n">
        <f aca="false">EDATE('Loan Details'!$B$9,315)</f>
        <v>55736</v>
      </c>
      <c r="C320" s="25" t="n">
        <f aca="false">LOOKUP(A320,'Loan Details'!$J$6:$J$14,'Loan Details'!$K$6:$K$14)</f>
        <v>0.0825</v>
      </c>
      <c r="D320" s="33" t="n">
        <f aca="false">I319</f>
        <v>0</v>
      </c>
      <c r="E320" s="33" t="n">
        <f aca="false">IF(D320&lt;=0,0,MIN(J320,D320+F320))</f>
        <v>0</v>
      </c>
      <c r="F320" s="33" t="n">
        <f aca="false">IF(D320&lt;=0,0,ROUND(D320*C320/12,0))</f>
        <v>0</v>
      </c>
      <c r="G320" s="33" t="n">
        <f aca="false">E320-F320</f>
        <v>0</v>
      </c>
      <c r="H320" s="33" t="n">
        <f aca="false">IF(D320&lt;=0,0,MIN(SUMIF('Loan Details'!$G$6:$G$20,A320,'Loan Details'!$H$6:$H$20),D320-G320))</f>
        <v>0</v>
      </c>
      <c r="I320" s="33" t="n">
        <f aca="false">MAX(0,D320-G320-H320)</f>
        <v>0</v>
      </c>
      <c r="J320" s="33" t="n">
        <f aca="false">IF(D320&lt;=0,0,IF(AND('Loan Details'!$B$10="Keep tenure, change EMI",OR(C320&lt;&gt;C319,H319&gt;0)),ROUND(PMT(C320/12,MAX(1,'Loan Details'!$B$8-A320+1),-D320),0),J319))</f>
        <v>0</v>
      </c>
    </row>
    <row r="321" customFormat="false" ht="15" hidden="false" customHeight="true" outlineLevel="0" collapsed="false">
      <c r="A321" s="24" t="n">
        <f aca="false">317</f>
        <v>317</v>
      </c>
      <c r="B321" s="32" t="n">
        <f aca="false">EDATE('Loan Details'!$B$9,316)</f>
        <v>55767</v>
      </c>
      <c r="C321" s="25" t="n">
        <f aca="false">LOOKUP(A321,'Loan Details'!$J$6:$J$14,'Loan Details'!$K$6:$K$14)</f>
        <v>0.0825</v>
      </c>
      <c r="D321" s="33" t="n">
        <f aca="false">I320</f>
        <v>0</v>
      </c>
      <c r="E321" s="33" t="n">
        <f aca="false">IF(D321&lt;=0,0,MIN(J321,D321+F321))</f>
        <v>0</v>
      </c>
      <c r="F321" s="33" t="n">
        <f aca="false">IF(D321&lt;=0,0,ROUND(D321*C321/12,0))</f>
        <v>0</v>
      </c>
      <c r="G321" s="33" t="n">
        <f aca="false">E321-F321</f>
        <v>0</v>
      </c>
      <c r="H321" s="33" t="n">
        <f aca="false">IF(D321&lt;=0,0,MIN(SUMIF('Loan Details'!$G$6:$G$20,A321,'Loan Details'!$H$6:$H$20),D321-G321))</f>
        <v>0</v>
      </c>
      <c r="I321" s="33" t="n">
        <f aca="false">MAX(0,D321-G321-H321)</f>
        <v>0</v>
      </c>
      <c r="J321" s="33" t="n">
        <f aca="false">IF(D321&lt;=0,0,IF(AND('Loan Details'!$B$10="Keep tenure, change EMI",OR(C321&lt;&gt;C320,H320&gt;0)),ROUND(PMT(C321/12,MAX(1,'Loan Details'!$B$8-A321+1),-D321),0),J320))</f>
        <v>0</v>
      </c>
    </row>
    <row r="322" customFormat="false" ht="15" hidden="false" customHeight="true" outlineLevel="0" collapsed="false">
      <c r="A322" s="24" t="n">
        <f aca="false">318</f>
        <v>318</v>
      </c>
      <c r="B322" s="32" t="n">
        <f aca="false">EDATE('Loan Details'!$B$9,317)</f>
        <v>55797</v>
      </c>
      <c r="C322" s="25" t="n">
        <f aca="false">LOOKUP(A322,'Loan Details'!$J$6:$J$14,'Loan Details'!$K$6:$K$14)</f>
        <v>0.0825</v>
      </c>
      <c r="D322" s="33" t="n">
        <f aca="false">I321</f>
        <v>0</v>
      </c>
      <c r="E322" s="33" t="n">
        <f aca="false">IF(D322&lt;=0,0,MIN(J322,D322+F322))</f>
        <v>0</v>
      </c>
      <c r="F322" s="33" t="n">
        <f aca="false">IF(D322&lt;=0,0,ROUND(D322*C322/12,0))</f>
        <v>0</v>
      </c>
      <c r="G322" s="33" t="n">
        <f aca="false">E322-F322</f>
        <v>0</v>
      </c>
      <c r="H322" s="33" t="n">
        <f aca="false">IF(D322&lt;=0,0,MIN(SUMIF('Loan Details'!$G$6:$G$20,A322,'Loan Details'!$H$6:$H$20),D322-G322))</f>
        <v>0</v>
      </c>
      <c r="I322" s="33" t="n">
        <f aca="false">MAX(0,D322-G322-H322)</f>
        <v>0</v>
      </c>
      <c r="J322" s="33" t="n">
        <f aca="false">IF(D322&lt;=0,0,IF(AND('Loan Details'!$B$10="Keep tenure, change EMI",OR(C322&lt;&gt;C321,H321&gt;0)),ROUND(PMT(C322/12,MAX(1,'Loan Details'!$B$8-A322+1),-D322),0),J321))</f>
        <v>0</v>
      </c>
    </row>
    <row r="323" customFormat="false" ht="15" hidden="false" customHeight="true" outlineLevel="0" collapsed="false">
      <c r="A323" s="24" t="n">
        <f aca="false">319</f>
        <v>319</v>
      </c>
      <c r="B323" s="32" t="n">
        <f aca="false">EDATE('Loan Details'!$B$9,318)</f>
        <v>55828</v>
      </c>
      <c r="C323" s="25" t="n">
        <f aca="false">LOOKUP(A323,'Loan Details'!$J$6:$J$14,'Loan Details'!$K$6:$K$14)</f>
        <v>0.0825</v>
      </c>
      <c r="D323" s="33" t="n">
        <f aca="false">I322</f>
        <v>0</v>
      </c>
      <c r="E323" s="33" t="n">
        <f aca="false">IF(D323&lt;=0,0,MIN(J323,D323+F323))</f>
        <v>0</v>
      </c>
      <c r="F323" s="33" t="n">
        <f aca="false">IF(D323&lt;=0,0,ROUND(D323*C323/12,0))</f>
        <v>0</v>
      </c>
      <c r="G323" s="33" t="n">
        <f aca="false">E323-F323</f>
        <v>0</v>
      </c>
      <c r="H323" s="33" t="n">
        <f aca="false">IF(D323&lt;=0,0,MIN(SUMIF('Loan Details'!$G$6:$G$20,A323,'Loan Details'!$H$6:$H$20),D323-G323))</f>
        <v>0</v>
      </c>
      <c r="I323" s="33" t="n">
        <f aca="false">MAX(0,D323-G323-H323)</f>
        <v>0</v>
      </c>
      <c r="J323" s="33" t="n">
        <f aca="false">IF(D323&lt;=0,0,IF(AND('Loan Details'!$B$10="Keep tenure, change EMI",OR(C323&lt;&gt;C322,H322&gt;0)),ROUND(PMT(C323/12,MAX(1,'Loan Details'!$B$8-A323+1),-D323),0),J322))</f>
        <v>0</v>
      </c>
    </row>
    <row r="324" customFormat="false" ht="15" hidden="false" customHeight="true" outlineLevel="0" collapsed="false">
      <c r="A324" s="24" t="n">
        <f aca="false">320</f>
        <v>320</v>
      </c>
      <c r="B324" s="32" t="n">
        <f aca="false">EDATE('Loan Details'!$B$9,319)</f>
        <v>55858</v>
      </c>
      <c r="C324" s="25" t="n">
        <f aca="false">LOOKUP(A324,'Loan Details'!$J$6:$J$14,'Loan Details'!$K$6:$K$14)</f>
        <v>0.0825</v>
      </c>
      <c r="D324" s="33" t="n">
        <f aca="false">I323</f>
        <v>0</v>
      </c>
      <c r="E324" s="33" t="n">
        <f aca="false">IF(D324&lt;=0,0,MIN(J324,D324+F324))</f>
        <v>0</v>
      </c>
      <c r="F324" s="33" t="n">
        <f aca="false">IF(D324&lt;=0,0,ROUND(D324*C324/12,0))</f>
        <v>0</v>
      </c>
      <c r="G324" s="33" t="n">
        <f aca="false">E324-F324</f>
        <v>0</v>
      </c>
      <c r="H324" s="33" t="n">
        <f aca="false">IF(D324&lt;=0,0,MIN(SUMIF('Loan Details'!$G$6:$G$20,A324,'Loan Details'!$H$6:$H$20),D324-G324))</f>
        <v>0</v>
      </c>
      <c r="I324" s="33" t="n">
        <f aca="false">MAX(0,D324-G324-H324)</f>
        <v>0</v>
      </c>
      <c r="J324" s="33" t="n">
        <f aca="false">IF(D324&lt;=0,0,IF(AND('Loan Details'!$B$10="Keep tenure, change EMI",OR(C324&lt;&gt;C323,H323&gt;0)),ROUND(PMT(C324/12,MAX(1,'Loan Details'!$B$8-A324+1),-D324),0),J323))</f>
        <v>0</v>
      </c>
    </row>
    <row r="325" customFormat="false" ht="15" hidden="false" customHeight="true" outlineLevel="0" collapsed="false">
      <c r="A325" s="24" t="n">
        <f aca="false">321</f>
        <v>321</v>
      </c>
      <c r="B325" s="32" t="n">
        <f aca="false">EDATE('Loan Details'!$B$9,320)</f>
        <v>55889</v>
      </c>
      <c r="C325" s="25" t="n">
        <f aca="false">LOOKUP(A325,'Loan Details'!$J$6:$J$14,'Loan Details'!$K$6:$K$14)</f>
        <v>0.0825</v>
      </c>
      <c r="D325" s="33" t="n">
        <f aca="false">I324</f>
        <v>0</v>
      </c>
      <c r="E325" s="33" t="n">
        <f aca="false">IF(D325&lt;=0,0,MIN(J325,D325+F325))</f>
        <v>0</v>
      </c>
      <c r="F325" s="33" t="n">
        <f aca="false">IF(D325&lt;=0,0,ROUND(D325*C325/12,0))</f>
        <v>0</v>
      </c>
      <c r="G325" s="33" t="n">
        <f aca="false">E325-F325</f>
        <v>0</v>
      </c>
      <c r="H325" s="33" t="n">
        <f aca="false">IF(D325&lt;=0,0,MIN(SUMIF('Loan Details'!$G$6:$G$20,A325,'Loan Details'!$H$6:$H$20),D325-G325))</f>
        <v>0</v>
      </c>
      <c r="I325" s="33" t="n">
        <f aca="false">MAX(0,D325-G325-H325)</f>
        <v>0</v>
      </c>
      <c r="J325" s="33" t="n">
        <f aca="false">IF(D325&lt;=0,0,IF(AND('Loan Details'!$B$10="Keep tenure, change EMI",OR(C325&lt;&gt;C324,H324&gt;0)),ROUND(PMT(C325/12,MAX(1,'Loan Details'!$B$8-A325+1),-D325),0),J324))</f>
        <v>0</v>
      </c>
    </row>
    <row r="326" customFormat="false" ht="15" hidden="false" customHeight="true" outlineLevel="0" collapsed="false">
      <c r="A326" s="24" t="n">
        <f aca="false">322</f>
        <v>322</v>
      </c>
      <c r="B326" s="32" t="n">
        <f aca="false">EDATE('Loan Details'!$B$9,321)</f>
        <v>55920</v>
      </c>
      <c r="C326" s="25" t="n">
        <f aca="false">LOOKUP(A326,'Loan Details'!$J$6:$J$14,'Loan Details'!$K$6:$K$14)</f>
        <v>0.0825</v>
      </c>
      <c r="D326" s="33" t="n">
        <f aca="false">I325</f>
        <v>0</v>
      </c>
      <c r="E326" s="33" t="n">
        <f aca="false">IF(D326&lt;=0,0,MIN(J326,D326+F326))</f>
        <v>0</v>
      </c>
      <c r="F326" s="33" t="n">
        <f aca="false">IF(D326&lt;=0,0,ROUND(D326*C326/12,0))</f>
        <v>0</v>
      </c>
      <c r="G326" s="33" t="n">
        <f aca="false">E326-F326</f>
        <v>0</v>
      </c>
      <c r="H326" s="33" t="n">
        <f aca="false">IF(D326&lt;=0,0,MIN(SUMIF('Loan Details'!$G$6:$G$20,A326,'Loan Details'!$H$6:$H$20),D326-G326))</f>
        <v>0</v>
      </c>
      <c r="I326" s="33" t="n">
        <f aca="false">MAX(0,D326-G326-H326)</f>
        <v>0</v>
      </c>
      <c r="J326" s="33" t="n">
        <f aca="false">IF(D326&lt;=0,0,IF(AND('Loan Details'!$B$10="Keep tenure, change EMI",OR(C326&lt;&gt;C325,H325&gt;0)),ROUND(PMT(C326/12,MAX(1,'Loan Details'!$B$8-A326+1),-D326),0),J325))</f>
        <v>0</v>
      </c>
    </row>
    <row r="327" customFormat="false" ht="15" hidden="false" customHeight="true" outlineLevel="0" collapsed="false">
      <c r="A327" s="24" t="n">
        <f aca="false">323</f>
        <v>323</v>
      </c>
      <c r="B327" s="32" t="n">
        <f aca="false">EDATE('Loan Details'!$B$9,322)</f>
        <v>55948</v>
      </c>
      <c r="C327" s="25" t="n">
        <f aca="false">LOOKUP(A327,'Loan Details'!$J$6:$J$14,'Loan Details'!$K$6:$K$14)</f>
        <v>0.0825</v>
      </c>
      <c r="D327" s="33" t="n">
        <f aca="false">I326</f>
        <v>0</v>
      </c>
      <c r="E327" s="33" t="n">
        <f aca="false">IF(D327&lt;=0,0,MIN(J327,D327+F327))</f>
        <v>0</v>
      </c>
      <c r="F327" s="33" t="n">
        <f aca="false">IF(D327&lt;=0,0,ROUND(D327*C327/12,0))</f>
        <v>0</v>
      </c>
      <c r="G327" s="33" t="n">
        <f aca="false">E327-F327</f>
        <v>0</v>
      </c>
      <c r="H327" s="33" t="n">
        <f aca="false">IF(D327&lt;=0,0,MIN(SUMIF('Loan Details'!$G$6:$G$20,A327,'Loan Details'!$H$6:$H$20),D327-G327))</f>
        <v>0</v>
      </c>
      <c r="I327" s="33" t="n">
        <f aca="false">MAX(0,D327-G327-H327)</f>
        <v>0</v>
      </c>
      <c r="J327" s="33" t="n">
        <f aca="false">IF(D327&lt;=0,0,IF(AND('Loan Details'!$B$10="Keep tenure, change EMI",OR(C327&lt;&gt;C326,H326&gt;0)),ROUND(PMT(C327/12,MAX(1,'Loan Details'!$B$8-A327+1),-D327),0),J326))</f>
        <v>0</v>
      </c>
    </row>
    <row r="328" customFormat="false" ht="15" hidden="false" customHeight="true" outlineLevel="0" collapsed="false">
      <c r="A328" s="24" t="n">
        <f aca="false">324</f>
        <v>324</v>
      </c>
      <c r="B328" s="32" t="n">
        <f aca="false">EDATE('Loan Details'!$B$9,323)</f>
        <v>55979</v>
      </c>
      <c r="C328" s="25" t="n">
        <f aca="false">LOOKUP(A328,'Loan Details'!$J$6:$J$14,'Loan Details'!$K$6:$K$14)</f>
        <v>0.0825</v>
      </c>
      <c r="D328" s="33" t="n">
        <f aca="false">I327</f>
        <v>0</v>
      </c>
      <c r="E328" s="33" t="n">
        <f aca="false">IF(D328&lt;=0,0,MIN(J328,D328+F328))</f>
        <v>0</v>
      </c>
      <c r="F328" s="33" t="n">
        <f aca="false">IF(D328&lt;=0,0,ROUND(D328*C328/12,0))</f>
        <v>0</v>
      </c>
      <c r="G328" s="33" t="n">
        <f aca="false">E328-F328</f>
        <v>0</v>
      </c>
      <c r="H328" s="33" t="n">
        <f aca="false">IF(D328&lt;=0,0,MIN(SUMIF('Loan Details'!$G$6:$G$20,A328,'Loan Details'!$H$6:$H$20),D328-G328))</f>
        <v>0</v>
      </c>
      <c r="I328" s="33" t="n">
        <f aca="false">MAX(0,D328-G328-H328)</f>
        <v>0</v>
      </c>
      <c r="J328" s="33" t="n">
        <f aca="false">IF(D328&lt;=0,0,IF(AND('Loan Details'!$B$10="Keep tenure, change EMI",OR(C328&lt;&gt;C327,H327&gt;0)),ROUND(PMT(C328/12,MAX(1,'Loan Details'!$B$8-A328+1),-D328),0),J327))</f>
        <v>0</v>
      </c>
    </row>
    <row r="329" customFormat="false" ht="15" hidden="false" customHeight="true" outlineLevel="0" collapsed="false">
      <c r="A329" s="24" t="n">
        <f aca="false">325</f>
        <v>325</v>
      </c>
      <c r="B329" s="32" t="n">
        <f aca="false">EDATE('Loan Details'!$B$9,324)</f>
        <v>56009</v>
      </c>
      <c r="C329" s="25" t="n">
        <f aca="false">LOOKUP(A329,'Loan Details'!$J$6:$J$14,'Loan Details'!$K$6:$K$14)</f>
        <v>0.0825</v>
      </c>
      <c r="D329" s="33" t="n">
        <f aca="false">I328</f>
        <v>0</v>
      </c>
      <c r="E329" s="33" t="n">
        <f aca="false">IF(D329&lt;=0,0,MIN(J329,D329+F329))</f>
        <v>0</v>
      </c>
      <c r="F329" s="33" t="n">
        <f aca="false">IF(D329&lt;=0,0,ROUND(D329*C329/12,0))</f>
        <v>0</v>
      </c>
      <c r="G329" s="33" t="n">
        <f aca="false">E329-F329</f>
        <v>0</v>
      </c>
      <c r="H329" s="33" t="n">
        <f aca="false">IF(D329&lt;=0,0,MIN(SUMIF('Loan Details'!$G$6:$G$20,A329,'Loan Details'!$H$6:$H$20),D329-G329))</f>
        <v>0</v>
      </c>
      <c r="I329" s="33" t="n">
        <f aca="false">MAX(0,D329-G329-H329)</f>
        <v>0</v>
      </c>
      <c r="J329" s="33" t="n">
        <f aca="false">IF(D329&lt;=0,0,IF(AND('Loan Details'!$B$10="Keep tenure, change EMI",OR(C329&lt;&gt;C328,H328&gt;0)),ROUND(PMT(C329/12,MAX(1,'Loan Details'!$B$8-A329+1),-D329),0),J328))</f>
        <v>0</v>
      </c>
    </row>
    <row r="330" customFormat="false" ht="15" hidden="false" customHeight="true" outlineLevel="0" collapsed="false">
      <c r="A330" s="24" t="n">
        <f aca="false">326</f>
        <v>326</v>
      </c>
      <c r="B330" s="32" t="n">
        <f aca="false">EDATE('Loan Details'!$B$9,325)</f>
        <v>56040</v>
      </c>
      <c r="C330" s="25" t="n">
        <f aca="false">LOOKUP(A330,'Loan Details'!$J$6:$J$14,'Loan Details'!$K$6:$K$14)</f>
        <v>0.0825</v>
      </c>
      <c r="D330" s="33" t="n">
        <f aca="false">I329</f>
        <v>0</v>
      </c>
      <c r="E330" s="33" t="n">
        <f aca="false">IF(D330&lt;=0,0,MIN(J330,D330+F330))</f>
        <v>0</v>
      </c>
      <c r="F330" s="33" t="n">
        <f aca="false">IF(D330&lt;=0,0,ROUND(D330*C330/12,0))</f>
        <v>0</v>
      </c>
      <c r="G330" s="33" t="n">
        <f aca="false">E330-F330</f>
        <v>0</v>
      </c>
      <c r="H330" s="33" t="n">
        <f aca="false">IF(D330&lt;=0,0,MIN(SUMIF('Loan Details'!$G$6:$G$20,A330,'Loan Details'!$H$6:$H$20),D330-G330))</f>
        <v>0</v>
      </c>
      <c r="I330" s="33" t="n">
        <f aca="false">MAX(0,D330-G330-H330)</f>
        <v>0</v>
      </c>
      <c r="J330" s="33" t="n">
        <f aca="false">IF(D330&lt;=0,0,IF(AND('Loan Details'!$B$10="Keep tenure, change EMI",OR(C330&lt;&gt;C329,H329&gt;0)),ROUND(PMT(C330/12,MAX(1,'Loan Details'!$B$8-A330+1),-D330),0),J329))</f>
        <v>0</v>
      </c>
    </row>
    <row r="331" customFormat="false" ht="15" hidden="false" customHeight="true" outlineLevel="0" collapsed="false">
      <c r="A331" s="24" t="n">
        <f aca="false">327</f>
        <v>327</v>
      </c>
      <c r="B331" s="32" t="n">
        <f aca="false">EDATE('Loan Details'!$B$9,326)</f>
        <v>56070</v>
      </c>
      <c r="C331" s="25" t="n">
        <f aca="false">LOOKUP(A331,'Loan Details'!$J$6:$J$14,'Loan Details'!$K$6:$K$14)</f>
        <v>0.0825</v>
      </c>
      <c r="D331" s="33" t="n">
        <f aca="false">I330</f>
        <v>0</v>
      </c>
      <c r="E331" s="33" t="n">
        <f aca="false">IF(D331&lt;=0,0,MIN(J331,D331+F331))</f>
        <v>0</v>
      </c>
      <c r="F331" s="33" t="n">
        <f aca="false">IF(D331&lt;=0,0,ROUND(D331*C331/12,0))</f>
        <v>0</v>
      </c>
      <c r="G331" s="33" t="n">
        <f aca="false">E331-F331</f>
        <v>0</v>
      </c>
      <c r="H331" s="33" t="n">
        <f aca="false">IF(D331&lt;=0,0,MIN(SUMIF('Loan Details'!$G$6:$G$20,A331,'Loan Details'!$H$6:$H$20),D331-G331))</f>
        <v>0</v>
      </c>
      <c r="I331" s="33" t="n">
        <f aca="false">MAX(0,D331-G331-H331)</f>
        <v>0</v>
      </c>
      <c r="J331" s="33" t="n">
        <f aca="false">IF(D331&lt;=0,0,IF(AND('Loan Details'!$B$10="Keep tenure, change EMI",OR(C331&lt;&gt;C330,H330&gt;0)),ROUND(PMT(C331/12,MAX(1,'Loan Details'!$B$8-A331+1),-D331),0),J330))</f>
        <v>0</v>
      </c>
    </row>
    <row r="332" customFormat="false" ht="15" hidden="false" customHeight="true" outlineLevel="0" collapsed="false">
      <c r="A332" s="24" t="n">
        <f aca="false">328</f>
        <v>328</v>
      </c>
      <c r="B332" s="32" t="n">
        <f aca="false">EDATE('Loan Details'!$B$9,327)</f>
        <v>56101</v>
      </c>
      <c r="C332" s="25" t="n">
        <f aca="false">LOOKUP(A332,'Loan Details'!$J$6:$J$14,'Loan Details'!$K$6:$K$14)</f>
        <v>0.0825</v>
      </c>
      <c r="D332" s="33" t="n">
        <f aca="false">I331</f>
        <v>0</v>
      </c>
      <c r="E332" s="33" t="n">
        <f aca="false">IF(D332&lt;=0,0,MIN(J332,D332+F332))</f>
        <v>0</v>
      </c>
      <c r="F332" s="33" t="n">
        <f aca="false">IF(D332&lt;=0,0,ROUND(D332*C332/12,0))</f>
        <v>0</v>
      </c>
      <c r="G332" s="33" t="n">
        <f aca="false">E332-F332</f>
        <v>0</v>
      </c>
      <c r="H332" s="33" t="n">
        <f aca="false">IF(D332&lt;=0,0,MIN(SUMIF('Loan Details'!$G$6:$G$20,A332,'Loan Details'!$H$6:$H$20),D332-G332))</f>
        <v>0</v>
      </c>
      <c r="I332" s="33" t="n">
        <f aca="false">MAX(0,D332-G332-H332)</f>
        <v>0</v>
      </c>
      <c r="J332" s="33" t="n">
        <f aca="false">IF(D332&lt;=0,0,IF(AND('Loan Details'!$B$10="Keep tenure, change EMI",OR(C332&lt;&gt;C331,H331&gt;0)),ROUND(PMT(C332/12,MAX(1,'Loan Details'!$B$8-A332+1),-D332),0),J331))</f>
        <v>0</v>
      </c>
    </row>
    <row r="333" customFormat="false" ht="15" hidden="false" customHeight="true" outlineLevel="0" collapsed="false">
      <c r="A333" s="24" t="n">
        <f aca="false">329</f>
        <v>329</v>
      </c>
      <c r="B333" s="32" t="n">
        <f aca="false">EDATE('Loan Details'!$B$9,328)</f>
        <v>56132</v>
      </c>
      <c r="C333" s="25" t="n">
        <f aca="false">LOOKUP(A333,'Loan Details'!$J$6:$J$14,'Loan Details'!$K$6:$K$14)</f>
        <v>0.0825</v>
      </c>
      <c r="D333" s="33" t="n">
        <f aca="false">I332</f>
        <v>0</v>
      </c>
      <c r="E333" s="33" t="n">
        <f aca="false">IF(D333&lt;=0,0,MIN(J333,D333+F333))</f>
        <v>0</v>
      </c>
      <c r="F333" s="33" t="n">
        <f aca="false">IF(D333&lt;=0,0,ROUND(D333*C333/12,0))</f>
        <v>0</v>
      </c>
      <c r="G333" s="33" t="n">
        <f aca="false">E333-F333</f>
        <v>0</v>
      </c>
      <c r="H333" s="33" t="n">
        <f aca="false">IF(D333&lt;=0,0,MIN(SUMIF('Loan Details'!$G$6:$G$20,A333,'Loan Details'!$H$6:$H$20),D333-G333))</f>
        <v>0</v>
      </c>
      <c r="I333" s="33" t="n">
        <f aca="false">MAX(0,D333-G333-H333)</f>
        <v>0</v>
      </c>
      <c r="J333" s="33" t="n">
        <f aca="false">IF(D333&lt;=0,0,IF(AND('Loan Details'!$B$10="Keep tenure, change EMI",OR(C333&lt;&gt;C332,H332&gt;0)),ROUND(PMT(C333/12,MAX(1,'Loan Details'!$B$8-A333+1),-D333),0),J332))</f>
        <v>0</v>
      </c>
    </row>
    <row r="334" customFormat="false" ht="15" hidden="false" customHeight="true" outlineLevel="0" collapsed="false">
      <c r="A334" s="24" t="n">
        <f aca="false">330</f>
        <v>330</v>
      </c>
      <c r="B334" s="32" t="n">
        <f aca="false">EDATE('Loan Details'!$B$9,329)</f>
        <v>56162</v>
      </c>
      <c r="C334" s="25" t="n">
        <f aca="false">LOOKUP(A334,'Loan Details'!$J$6:$J$14,'Loan Details'!$K$6:$K$14)</f>
        <v>0.0825</v>
      </c>
      <c r="D334" s="33" t="n">
        <f aca="false">I333</f>
        <v>0</v>
      </c>
      <c r="E334" s="33" t="n">
        <f aca="false">IF(D334&lt;=0,0,MIN(J334,D334+F334))</f>
        <v>0</v>
      </c>
      <c r="F334" s="33" t="n">
        <f aca="false">IF(D334&lt;=0,0,ROUND(D334*C334/12,0))</f>
        <v>0</v>
      </c>
      <c r="G334" s="33" t="n">
        <f aca="false">E334-F334</f>
        <v>0</v>
      </c>
      <c r="H334" s="33" t="n">
        <f aca="false">IF(D334&lt;=0,0,MIN(SUMIF('Loan Details'!$G$6:$G$20,A334,'Loan Details'!$H$6:$H$20),D334-G334))</f>
        <v>0</v>
      </c>
      <c r="I334" s="33" t="n">
        <f aca="false">MAX(0,D334-G334-H334)</f>
        <v>0</v>
      </c>
      <c r="J334" s="33" t="n">
        <f aca="false">IF(D334&lt;=0,0,IF(AND('Loan Details'!$B$10="Keep tenure, change EMI",OR(C334&lt;&gt;C333,H333&gt;0)),ROUND(PMT(C334/12,MAX(1,'Loan Details'!$B$8-A334+1),-D334),0),J333))</f>
        <v>0</v>
      </c>
    </row>
    <row r="335" customFormat="false" ht="15" hidden="false" customHeight="true" outlineLevel="0" collapsed="false">
      <c r="A335" s="24" t="n">
        <f aca="false">331</f>
        <v>331</v>
      </c>
      <c r="B335" s="32" t="n">
        <f aca="false">EDATE('Loan Details'!$B$9,330)</f>
        <v>56193</v>
      </c>
      <c r="C335" s="25" t="n">
        <f aca="false">LOOKUP(A335,'Loan Details'!$J$6:$J$14,'Loan Details'!$K$6:$K$14)</f>
        <v>0.0825</v>
      </c>
      <c r="D335" s="33" t="n">
        <f aca="false">I334</f>
        <v>0</v>
      </c>
      <c r="E335" s="33" t="n">
        <f aca="false">IF(D335&lt;=0,0,MIN(J335,D335+F335))</f>
        <v>0</v>
      </c>
      <c r="F335" s="33" t="n">
        <f aca="false">IF(D335&lt;=0,0,ROUND(D335*C335/12,0))</f>
        <v>0</v>
      </c>
      <c r="G335" s="33" t="n">
        <f aca="false">E335-F335</f>
        <v>0</v>
      </c>
      <c r="H335" s="33" t="n">
        <f aca="false">IF(D335&lt;=0,0,MIN(SUMIF('Loan Details'!$G$6:$G$20,A335,'Loan Details'!$H$6:$H$20),D335-G335))</f>
        <v>0</v>
      </c>
      <c r="I335" s="33" t="n">
        <f aca="false">MAX(0,D335-G335-H335)</f>
        <v>0</v>
      </c>
      <c r="J335" s="33" t="n">
        <f aca="false">IF(D335&lt;=0,0,IF(AND('Loan Details'!$B$10="Keep tenure, change EMI",OR(C335&lt;&gt;C334,H334&gt;0)),ROUND(PMT(C335/12,MAX(1,'Loan Details'!$B$8-A335+1),-D335),0),J334))</f>
        <v>0</v>
      </c>
    </row>
    <row r="336" customFormat="false" ht="15" hidden="false" customHeight="true" outlineLevel="0" collapsed="false">
      <c r="A336" s="24" t="n">
        <f aca="false">332</f>
        <v>332</v>
      </c>
      <c r="B336" s="32" t="n">
        <f aca="false">EDATE('Loan Details'!$B$9,331)</f>
        <v>56223</v>
      </c>
      <c r="C336" s="25" t="n">
        <f aca="false">LOOKUP(A336,'Loan Details'!$J$6:$J$14,'Loan Details'!$K$6:$K$14)</f>
        <v>0.0825</v>
      </c>
      <c r="D336" s="33" t="n">
        <f aca="false">I335</f>
        <v>0</v>
      </c>
      <c r="E336" s="33" t="n">
        <f aca="false">IF(D336&lt;=0,0,MIN(J336,D336+F336))</f>
        <v>0</v>
      </c>
      <c r="F336" s="33" t="n">
        <f aca="false">IF(D336&lt;=0,0,ROUND(D336*C336/12,0))</f>
        <v>0</v>
      </c>
      <c r="G336" s="33" t="n">
        <f aca="false">E336-F336</f>
        <v>0</v>
      </c>
      <c r="H336" s="33" t="n">
        <f aca="false">IF(D336&lt;=0,0,MIN(SUMIF('Loan Details'!$G$6:$G$20,A336,'Loan Details'!$H$6:$H$20),D336-G336))</f>
        <v>0</v>
      </c>
      <c r="I336" s="33" t="n">
        <f aca="false">MAX(0,D336-G336-H336)</f>
        <v>0</v>
      </c>
      <c r="J336" s="33" t="n">
        <f aca="false">IF(D336&lt;=0,0,IF(AND('Loan Details'!$B$10="Keep tenure, change EMI",OR(C336&lt;&gt;C335,H335&gt;0)),ROUND(PMT(C336/12,MAX(1,'Loan Details'!$B$8-A336+1),-D336),0),J335))</f>
        <v>0</v>
      </c>
    </row>
    <row r="337" customFormat="false" ht="15" hidden="false" customHeight="true" outlineLevel="0" collapsed="false">
      <c r="A337" s="24" t="n">
        <f aca="false">333</f>
        <v>333</v>
      </c>
      <c r="B337" s="32" t="n">
        <f aca="false">EDATE('Loan Details'!$B$9,332)</f>
        <v>56254</v>
      </c>
      <c r="C337" s="25" t="n">
        <f aca="false">LOOKUP(A337,'Loan Details'!$J$6:$J$14,'Loan Details'!$K$6:$K$14)</f>
        <v>0.0825</v>
      </c>
      <c r="D337" s="33" t="n">
        <f aca="false">I336</f>
        <v>0</v>
      </c>
      <c r="E337" s="33" t="n">
        <f aca="false">IF(D337&lt;=0,0,MIN(J337,D337+F337))</f>
        <v>0</v>
      </c>
      <c r="F337" s="33" t="n">
        <f aca="false">IF(D337&lt;=0,0,ROUND(D337*C337/12,0))</f>
        <v>0</v>
      </c>
      <c r="G337" s="33" t="n">
        <f aca="false">E337-F337</f>
        <v>0</v>
      </c>
      <c r="H337" s="33" t="n">
        <f aca="false">IF(D337&lt;=0,0,MIN(SUMIF('Loan Details'!$G$6:$G$20,A337,'Loan Details'!$H$6:$H$20),D337-G337))</f>
        <v>0</v>
      </c>
      <c r="I337" s="33" t="n">
        <f aca="false">MAX(0,D337-G337-H337)</f>
        <v>0</v>
      </c>
      <c r="J337" s="33" t="n">
        <f aca="false">IF(D337&lt;=0,0,IF(AND('Loan Details'!$B$10="Keep tenure, change EMI",OR(C337&lt;&gt;C336,H336&gt;0)),ROUND(PMT(C337/12,MAX(1,'Loan Details'!$B$8-A337+1),-D337),0),J336))</f>
        <v>0</v>
      </c>
    </row>
    <row r="338" customFormat="false" ht="15" hidden="false" customHeight="true" outlineLevel="0" collapsed="false">
      <c r="A338" s="24" t="n">
        <f aca="false">334</f>
        <v>334</v>
      </c>
      <c r="B338" s="32" t="n">
        <f aca="false">EDATE('Loan Details'!$B$9,333)</f>
        <v>56285</v>
      </c>
      <c r="C338" s="25" t="n">
        <f aca="false">LOOKUP(A338,'Loan Details'!$J$6:$J$14,'Loan Details'!$K$6:$K$14)</f>
        <v>0.0825</v>
      </c>
      <c r="D338" s="33" t="n">
        <f aca="false">I337</f>
        <v>0</v>
      </c>
      <c r="E338" s="33" t="n">
        <f aca="false">IF(D338&lt;=0,0,MIN(J338,D338+F338))</f>
        <v>0</v>
      </c>
      <c r="F338" s="33" t="n">
        <f aca="false">IF(D338&lt;=0,0,ROUND(D338*C338/12,0))</f>
        <v>0</v>
      </c>
      <c r="G338" s="33" t="n">
        <f aca="false">E338-F338</f>
        <v>0</v>
      </c>
      <c r="H338" s="33" t="n">
        <f aca="false">IF(D338&lt;=0,0,MIN(SUMIF('Loan Details'!$G$6:$G$20,A338,'Loan Details'!$H$6:$H$20),D338-G338))</f>
        <v>0</v>
      </c>
      <c r="I338" s="33" t="n">
        <f aca="false">MAX(0,D338-G338-H338)</f>
        <v>0</v>
      </c>
      <c r="J338" s="33" t="n">
        <f aca="false">IF(D338&lt;=0,0,IF(AND('Loan Details'!$B$10="Keep tenure, change EMI",OR(C338&lt;&gt;C337,H337&gt;0)),ROUND(PMT(C338/12,MAX(1,'Loan Details'!$B$8-A338+1),-D338),0),J337))</f>
        <v>0</v>
      </c>
    </row>
    <row r="339" customFormat="false" ht="15" hidden="false" customHeight="true" outlineLevel="0" collapsed="false">
      <c r="A339" s="24" t="n">
        <f aca="false">335</f>
        <v>335</v>
      </c>
      <c r="B339" s="32" t="n">
        <f aca="false">EDATE('Loan Details'!$B$9,334)</f>
        <v>56313</v>
      </c>
      <c r="C339" s="25" t="n">
        <f aca="false">LOOKUP(A339,'Loan Details'!$J$6:$J$14,'Loan Details'!$K$6:$K$14)</f>
        <v>0.0825</v>
      </c>
      <c r="D339" s="33" t="n">
        <f aca="false">I338</f>
        <v>0</v>
      </c>
      <c r="E339" s="33" t="n">
        <f aca="false">IF(D339&lt;=0,0,MIN(J339,D339+F339))</f>
        <v>0</v>
      </c>
      <c r="F339" s="33" t="n">
        <f aca="false">IF(D339&lt;=0,0,ROUND(D339*C339/12,0))</f>
        <v>0</v>
      </c>
      <c r="G339" s="33" t="n">
        <f aca="false">E339-F339</f>
        <v>0</v>
      </c>
      <c r="H339" s="33" t="n">
        <f aca="false">IF(D339&lt;=0,0,MIN(SUMIF('Loan Details'!$G$6:$G$20,A339,'Loan Details'!$H$6:$H$20),D339-G339))</f>
        <v>0</v>
      </c>
      <c r="I339" s="33" t="n">
        <f aca="false">MAX(0,D339-G339-H339)</f>
        <v>0</v>
      </c>
      <c r="J339" s="33" t="n">
        <f aca="false">IF(D339&lt;=0,0,IF(AND('Loan Details'!$B$10="Keep tenure, change EMI",OR(C339&lt;&gt;C338,H338&gt;0)),ROUND(PMT(C339/12,MAX(1,'Loan Details'!$B$8-A339+1),-D339),0),J338))</f>
        <v>0</v>
      </c>
    </row>
    <row r="340" customFormat="false" ht="15" hidden="false" customHeight="true" outlineLevel="0" collapsed="false">
      <c r="A340" s="24" t="n">
        <f aca="false">336</f>
        <v>336</v>
      </c>
      <c r="B340" s="32" t="n">
        <f aca="false">EDATE('Loan Details'!$B$9,335)</f>
        <v>56344</v>
      </c>
      <c r="C340" s="25" t="n">
        <f aca="false">LOOKUP(A340,'Loan Details'!$J$6:$J$14,'Loan Details'!$K$6:$K$14)</f>
        <v>0.0825</v>
      </c>
      <c r="D340" s="33" t="n">
        <f aca="false">I339</f>
        <v>0</v>
      </c>
      <c r="E340" s="33" t="n">
        <f aca="false">IF(D340&lt;=0,0,MIN(J340,D340+F340))</f>
        <v>0</v>
      </c>
      <c r="F340" s="33" t="n">
        <f aca="false">IF(D340&lt;=0,0,ROUND(D340*C340/12,0))</f>
        <v>0</v>
      </c>
      <c r="G340" s="33" t="n">
        <f aca="false">E340-F340</f>
        <v>0</v>
      </c>
      <c r="H340" s="33" t="n">
        <f aca="false">IF(D340&lt;=0,0,MIN(SUMIF('Loan Details'!$G$6:$G$20,A340,'Loan Details'!$H$6:$H$20),D340-G340))</f>
        <v>0</v>
      </c>
      <c r="I340" s="33" t="n">
        <f aca="false">MAX(0,D340-G340-H340)</f>
        <v>0</v>
      </c>
      <c r="J340" s="33" t="n">
        <f aca="false">IF(D340&lt;=0,0,IF(AND('Loan Details'!$B$10="Keep tenure, change EMI",OR(C340&lt;&gt;C339,H339&gt;0)),ROUND(PMT(C340/12,MAX(1,'Loan Details'!$B$8-A340+1),-D340),0),J339))</f>
        <v>0</v>
      </c>
    </row>
    <row r="341" customFormat="false" ht="15" hidden="false" customHeight="true" outlineLevel="0" collapsed="false">
      <c r="A341" s="24" t="n">
        <f aca="false">337</f>
        <v>337</v>
      </c>
      <c r="B341" s="32" t="n">
        <f aca="false">EDATE('Loan Details'!$B$9,336)</f>
        <v>56374</v>
      </c>
      <c r="C341" s="25" t="n">
        <f aca="false">LOOKUP(A341,'Loan Details'!$J$6:$J$14,'Loan Details'!$K$6:$K$14)</f>
        <v>0.0825</v>
      </c>
      <c r="D341" s="33" t="n">
        <f aca="false">I340</f>
        <v>0</v>
      </c>
      <c r="E341" s="33" t="n">
        <f aca="false">IF(D341&lt;=0,0,MIN(J341,D341+F341))</f>
        <v>0</v>
      </c>
      <c r="F341" s="33" t="n">
        <f aca="false">IF(D341&lt;=0,0,ROUND(D341*C341/12,0))</f>
        <v>0</v>
      </c>
      <c r="G341" s="33" t="n">
        <f aca="false">E341-F341</f>
        <v>0</v>
      </c>
      <c r="H341" s="33" t="n">
        <f aca="false">IF(D341&lt;=0,0,MIN(SUMIF('Loan Details'!$G$6:$G$20,A341,'Loan Details'!$H$6:$H$20),D341-G341))</f>
        <v>0</v>
      </c>
      <c r="I341" s="33" t="n">
        <f aca="false">MAX(0,D341-G341-H341)</f>
        <v>0</v>
      </c>
      <c r="J341" s="33" t="n">
        <f aca="false">IF(D341&lt;=0,0,IF(AND('Loan Details'!$B$10="Keep tenure, change EMI",OR(C341&lt;&gt;C340,H340&gt;0)),ROUND(PMT(C341/12,MAX(1,'Loan Details'!$B$8-A341+1),-D341),0),J340))</f>
        <v>0</v>
      </c>
    </row>
    <row r="342" customFormat="false" ht="15" hidden="false" customHeight="true" outlineLevel="0" collapsed="false">
      <c r="A342" s="24" t="n">
        <f aca="false">338</f>
        <v>338</v>
      </c>
      <c r="B342" s="32" t="n">
        <f aca="false">EDATE('Loan Details'!$B$9,337)</f>
        <v>56405</v>
      </c>
      <c r="C342" s="25" t="n">
        <f aca="false">LOOKUP(A342,'Loan Details'!$J$6:$J$14,'Loan Details'!$K$6:$K$14)</f>
        <v>0.0825</v>
      </c>
      <c r="D342" s="33" t="n">
        <f aca="false">I341</f>
        <v>0</v>
      </c>
      <c r="E342" s="33" t="n">
        <f aca="false">IF(D342&lt;=0,0,MIN(J342,D342+F342))</f>
        <v>0</v>
      </c>
      <c r="F342" s="33" t="n">
        <f aca="false">IF(D342&lt;=0,0,ROUND(D342*C342/12,0))</f>
        <v>0</v>
      </c>
      <c r="G342" s="33" t="n">
        <f aca="false">E342-F342</f>
        <v>0</v>
      </c>
      <c r="H342" s="33" t="n">
        <f aca="false">IF(D342&lt;=0,0,MIN(SUMIF('Loan Details'!$G$6:$G$20,A342,'Loan Details'!$H$6:$H$20),D342-G342))</f>
        <v>0</v>
      </c>
      <c r="I342" s="33" t="n">
        <f aca="false">MAX(0,D342-G342-H342)</f>
        <v>0</v>
      </c>
      <c r="J342" s="33" t="n">
        <f aca="false">IF(D342&lt;=0,0,IF(AND('Loan Details'!$B$10="Keep tenure, change EMI",OR(C342&lt;&gt;C341,H341&gt;0)),ROUND(PMT(C342/12,MAX(1,'Loan Details'!$B$8-A342+1),-D342),0),J341))</f>
        <v>0</v>
      </c>
    </row>
    <row r="343" customFormat="false" ht="15" hidden="false" customHeight="true" outlineLevel="0" collapsed="false">
      <c r="A343" s="24" t="n">
        <f aca="false">339</f>
        <v>339</v>
      </c>
      <c r="B343" s="32" t="n">
        <f aca="false">EDATE('Loan Details'!$B$9,338)</f>
        <v>56435</v>
      </c>
      <c r="C343" s="25" t="n">
        <f aca="false">LOOKUP(A343,'Loan Details'!$J$6:$J$14,'Loan Details'!$K$6:$K$14)</f>
        <v>0.0825</v>
      </c>
      <c r="D343" s="33" t="n">
        <f aca="false">I342</f>
        <v>0</v>
      </c>
      <c r="E343" s="33" t="n">
        <f aca="false">IF(D343&lt;=0,0,MIN(J343,D343+F343))</f>
        <v>0</v>
      </c>
      <c r="F343" s="33" t="n">
        <f aca="false">IF(D343&lt;=0,0,ROUND(D343*C343/12,0))</f>
        <v>0</v>
      </c>
      <c r="G343" s="33" t="n">
        <f aca="false">E343-F343</f>
        <v>0</v>
      </c>
      <c r="H343" s="33" t="n">
        <f aca="false">IF(D343&lt;=0,0,MIN(SUMIF('Loan Details'!$G$6:$G$20,A343,'Loan Details'!$H$6:$H$20),D343-G343))</f>
        <v>0</v>
      </c>
      <c r="I343" s="33" t="n">
        <f aca="false">MAX(0,D343-G343-H343)</f>
        <v>0</v>
      </c>
      <c r="J343" s="33" t="n">
        <f aca="false">IF(D343&lt;=0,0,IF(AND('Loan Details'!$B$10="Keep tenure, change EMI",OR(C343&lt;&gt;C342,H342&gt;0)),ROUND(PMT(C343/12,MAX(1,'Loan Details'!$B$8-A343+1),-D343),0),J342))</f>
        <v>0</v>
      </c>
    </row>
    <row r="344" customFormat="false" ht="15" hidden="false" customHeight="true" outlineLevel="0" collapsed="false">
      <c r="A344" s="24" t="n">
        <f aca="false">340</f>
        <v>340</v>
      </c>
      <c r="B344" s="32" t="n">
        <f aca="false">EDATE('Loan Details'!$B$9,339)</f>
        <v>56466</v>
      </c>
      <c r="C344" s="25" t="n">
        <f aca="false">LOOKUP(A344,'Loan Details'!$J$6:$J$14,'Loan Details'!$K$6:$K$14)</f>
        <v>0.0825</v>
      </c>
      <c r="D344" s="33" t="n">
        <f aca="false">I343</f>
        <v>0</v>
      </c>
      <c r="E344" s="33" t="n">
        <f aca="false">IF(D344&lt;=0,0,MIN(J344,D344+F344))</f>
        <v>0</v>
      </c>
      <c r="F344" s="33" t="n">
        <f aca="false">IF(D344&lt;=0,0,ROUND(D344*C344/12,0))</f>
        <v>0</v>
      </c>
      <c r="G344" s="33" t="n">
        <f aca="false">E344-F344</f>
        <v>0</v>
      </c>
      <c r="H344" s="33" t="n">
        <f aca="false">IF(D344&lt;=0,0,MIN(SUMIF('Loan Details'!$G$6:$G$20,A344,'Loan Details'!$H$6:$H$20),D344-G344))</f>
        <v>0</v>
      </c>
      <c r="I344" s="33" t="n">
        <f aca="false">MAX(0,D344-G344-H344)</f>
        <v>0</v>
      </c>
      <c r="J344" s="33" t="n">
        <f aca="false">IF(D344&lt;=0,0,IF(AND('Loan Details'!$B$10="Keep tenure, change EMI",OR(C344&lt;&gt;C343,H343&gt;0)),ROUND(PMT(C344/12,MAX(1,'Loan Details'!$B$8-A344+1),-D344),0),J343))</f>
        <v>0</v>
      </c>
    </row>
    <row r="345" customFormat="false" ht="15" hidden="false" customHeight="true" outlineLevel="0" collapsed="false">
      <c r="A345" s="24" t="n">
        <f aca="false">341</f>
        <v>341</v>
      </c>
      <c r="B345" s="32" t="n">
        <f aca="false">EDATE('Loan Details'!$B$9,340)</f>
        <v>56497</v>
      </c>
      <c r="C345" s="25" t="n">
        <f aca="false">LOOKUP(A345,'Loan Details'!$J$6:$J$14,'Loan Details'!$K$6:$K$14)</f>
        <v>0.0825</v>
      </c>
      <c r="D345" s="33" t="n">
        <f aca="false">I344</f>
        <v>0</v>
      </c>
      <c r="E345" s="33" t="n">
        <f aca="false">IF(D345&lt;=0,0,MIN(J345,D345+F345))</f>
        <v>0</v>
      </c>
      <c r="F345" s="33" t="n">
        <f aca="false">IF(D345&lt;=0,0,ROUND(D345*C345/12,0))</f>
        <v>0</v>
      </c>
      <c r="G345" s="33" t="n">
        <f aca="false">E345-F345</f>
        <v>0</v>
      </c>
      <c r="H345" s="33" t="n">
        <f aca="false">IF(D345&lt;=0,0,MIN(SUMIF('Loan Details'!$G$6:$G$20,A345,'Loan Details'!$H$6:$H$20),D345-G345))</f>
        <v>0</v>
      </c>
      <c r="I345" s="33" t="n">
        <f aca="false">MAX(0,D345-G345-H345)</f>
        <v>0</v>
      </c>
      <c r="J345" s="33" t="n">
        <f aca="false">IF(D345&lt;=0,0,IF(AND('Loan Details'!$B$10="Keep tenure, change EMI",OR(C345&lt;&gt;C344,H344&gt;0)),ROUND(PMT(C345/12,MAX(1,'Loan Details'!$B$8-A345+1),-D345),0),J344))</f>
        <v>0</v>
      </c>
    </row>
    <row r="346" customFormat="false" ht="15" hidden="false" customHeight="true" outlineLevel="0" collapsed="false">
      <c r="A346" s="24" t="n">
        <f aca="false">342</f>
        <v>342</v>
      </c>
      <c r="B346" s="32" t="n">
        <f aca="false">EDATE('Loan Details'!$B$9,341)</f>
        <v>56527</v>
      </c>
      <c r="C346" s="25" t="n">
        <f aca="false">LOOKUP(A346,'Loan Details'!$J$6:$J$14,'Loan Details'!$K$6:$K$14)</f>
        <v>0.0825</v>
      </c>
      <c r="D346" s="33" t="n">
        <f aca="false">I345</f>
        <v>0</v>
      </c>
      <c r="E346" s="33" t="n">
        <f aca="false">IF(D346&lt;=0,0,MIN(J346,D346+F346))</f>
        <v>0</v>
      </c>
      <c r="F346" s="33" t="n">
        <f aca="false">IF(D346&lt;=0,0,ROUND(D346*C346/12,0))</f>
        <v>0</v>
      </c>
      <c r="G346" s="33" t="n">
        <f aca="false">E346-F346</f>
        <v>0</v>
      </c>
      <c r="H346" s="33" t="n">
        <f aca="false">IF(D346&lt;=0,0,MIN(SUMIF('Loan Details'!$G$6:$G$20,A346,'Loan Details'!$H$6:$H$20),D346-G346))</f>
        <v>0</v>
      </c>
      <c r="I346" s="33" t="n">
        <f aca="false">MAX(0,D346-G346-H346)</f>
        <v>0</v>
      </c>
      <c r="J346" s="33" t="n">
        <f aca="false">IF(D346&lt;=0,0,IF(AND('Loan Details'!$B$10="Keep tenure, change EMI",OR(C346&lt;&gt;C345,H345&gt;0)),ROUND(PMT(C346/12,MAX(1,'Loan Details'!$B$8-A346+1),-D346),0),J345))</f>
        <v>0</v>
      </c>
    </row>
    <row r="347" customFormat="false" ht="15" hidden="false" customHeight="true" outlineLevel="0" collapsed="false">
      <c r="A347" s="24" t="n">
        <f aca="false">343</f>
        <v>343</v>
      </c>
      <c r="B347" s="32" t="n">
        <f aca="false">EDATE('Loan Details'!$B$9,342)</f>
        <v>56558</v>
      </c>
      <c r="C347" s="25" t="n">
        <f aca="false">LOOKUP(A347,'Loan Details'!$J$6:$J$14,'Loan Details'!$K$6:$K$14)</f>
        <v>0.0825</v>
      </c>
      <c r="D347" s="33" t="n">
        <f aca="false">I346</f>
        <v>0</v>
      </c>
      <c r="E347" s="33" t="n">
        <f aca="false">IF(D347&lt;=0,0,MIN(J347,D347+F347))</f>
        <v>0</v>
      </c>
      <c r="F347" s="33" t="n">
        <f aca="false">IF(D347&lt;=0,0,ROUND(D347*C347/12,0))</f>
        <v>0</v>
      </c>
      <c r="G347" s="33" t="n">
        <f aca="false">E347-F347</f>
        <v>0</v>
      </c>
      <c r="H347" s="33" t="n">
        <f aca="false">IF(D347&lt;=0,0,MIN(SUMIF('Loan Details'!$G$6:$G$20,A347,'Loan Details'!$H$6:$H$20),D347-G347))</f>
        <v>0</v>
      </c>
      <c r="I347" s="33" t="n">
        <f aca="false">MAX(0,D347-G347-H347)</f>
        <v>0</v>
      </c>
      <c r="J347" s="33" t="n">
        <f aca="false">IF(D347&lt;=0,0,IF(AND('Loan Details'!$B$10="Keep tenure, change EMI",OR(C347&lt;&gt;C346,H346&gt;0)),ROUND(PMT(C347/12,MAX(1,'Loan Details'!$B$8-A347+1),-D347),0),J346))</f>
        <v>0</v>
      </c>
    </row>
    <row r="348" customFormat="false" ht="15" hidden="false" customHeight="true" outlineLevel="0" collapsed="false">
      <c r="A348" s="24" t="n">
        <f aca="false">344</f>
        <v>344</v>
      </c>
      <c r="B348" s="32" t="n">
        <f aca="false">EDATE('Loan Details'!$B$9,343)</f>
        <v>56588</v>
      </c>
      <c r="C348" s="25" t="n">
        <f aca="false">LOOKUP(A348,'Loan Details'!$J$6:$J$14,'Loan Details'!$K$6:$K$14)</f>
        <v>0.0825</v>
      </c>
      <c r="D348" s="33" t="n">
        <f aca="false">I347</f>
        <v>0</v>
      </c>
      <c r="E348" s="33" t="n">
        <f aca="false">IF(D348&lt;=0,0,MIN(J348,D348+F348))</f>
        <v>0</v>
      </c>
      <c r="F348" s="33" t="n">
        <f aca="false">IF(D348&lt;=0,0,ROUND(D348*C348/12,0))</f>
        <v>0</v>
      </c>
      <c r="G348" s="33" t="n">
        <f aca="false">E348-F348</f>
        <v>0</v>
      </c>
      <c r="H348" s="33" t="n">
        <f aca="false">IF(D348&lt;=0,0,MIN(SUMIF('Loan Details'!$G$6:$G$20,A348,'Loan Details'!$H$6:$H$20),D348-G348))</f>
        <v>0</v>
      </c>
      <c r="I348" s="33" t="n">
        <f aca="false">MAX(0,D348-G348-H348)</f>
        <v>0</v>
      </c>
      <c r="J348" s="33" t="n">
        <f aca="false">IF(D348&lt;=0,0,IF(AND('Loan Details'!$B$10="Keep tenure, change EMI",OR(C348&lt;&gt;C347,H347&gt;0)),ROUND(PMT(C348/12,MAX(1,'Loan Details'!$B$8-A348+1),-D348),0),J347))</f>
        <v>0</v>
      </c>
    </row>
    <row r="349" customFormat="false" ht="15" hidden="false" customHeight="true" outlineLevel="0" collapsed="false">
      <c r="A349" s="24" t="n">
        <f aca="false">345</f>
        <v>345</v>
      </c>
      <c r="B349" s="32" t="n">
        <f aca="false">EDATE('Loan Details'!$B$9,344)</f>
        <v>56619</v>
      </c>
      <c r="C349" s="25" t="n">
        <f aca="false">LOOKUP(A349,'Loan Details'!$J$6:$J$14,'Loan Details'!$K$6:$K$14)</f>
        <v>0.0825</v>
      </c>
      <c r="D349" s="33" t="n">
        <f aca="false">I348</f>
        <v>0</v>
      </c>
      <c r="E349" s="33" t="n">
        <f aca="false">IF(D349&lt;=0,0,MIN(J349,D349+F349))</f>
        <v>0</v>
      </c>
      <c r="F349" s="33" t="n">
        <f aca="false">IF(D349&lt;=0,0,ROUND(D349*C349/12,0))</f>
        <v>0</v>
      </c>
      <c r="G349" s="33" t="n">
        <f aca="false">E349-F349</f>
        <v>0</v>
      </c>
      <c r="H349" s="33" t="n">
        <f aca="false">IF(D349&lt;=0,0,MIN(SUMIF('Loan Details'!$G$6:$G$20,A349,'Loan Details'!$H$6:$H$20),D349-G349))</f>
        <v>0</v>
      </c>
      <c r="I349" s="33" t="n">
        <f aca="false">MAX(0,D349-G349-H349)</f>
        <v>0</v>
      </c>
      <c r="J349" s="33" t="n">
        <f aca="false">IF(D349&lt;=0,0,IF(AND('Loan Details'!$B$10="Keep tenure, change EMI",OR(C349&lt;&gt;C348,H348&gt;0)),ROUND(PMT(C349/12,MAX(1,'Loan Details'!$B$8-A349+1),-D349),0),J348))</f>
        <v>0</v>
      </c>
    </row>
    <row r="350" customFormat="false" ht="15" hidden="false" customHeight="true" outlineLevel="0" collapsed="false">
      <c r="A350" s="24" t="n">
        <f aca="false">346</f>
        <v>346</v>
      </c>
      <c r="B350" s="32" t="n">
        <f aca="false">EDATE('Loan Details'!$B$9,345)</f>
        <v>56650</v>
      </c>
      <c r="C350" s="25" t="n">
        <f aca="false">LOOKUP(A350,'Loan Details'!$J$6:$J$14,'Loan Details'!$K$6:$K$14)</f>
        <v>0.0825</v>
      </c>
      <c r="D350" s="33" t="n">
        <f aca="false">I349</f>
        <v>0</v>
      </c>
      <c r="E350" s="33" t="n">
        <f aca="false">IF(D350&lt;=0,0,MIN(J350,D350+F350))</f>
        <v>0</v>
      </c>
      <c r="F350" s="33" t="n">
        <f aca="false">IF(D350&lt;=0,0,ROUND(D350*C350/12,0))</f>
        <v>0</v>
      </c>
      <c r="G350" s="33" t="n">
        <f aca="false">E350-F350</f>
        <v>0</v>
      </c>
      <c r="H350" s="33" t="n">
        <f aca="false">IF(D350&lt;=0,0,MIN(SUMIF('Loan Details'!$G$6:$G$20,A350,'Loan Details'!$H$6:$H$20),D350-G350))</f>
        <v>0</v>
      </c>
      <c r="I350" s="33" t="n">
        <f aca="false">MAX(0,D350-G350-H350)</f>
        <v>0</v>
      </c>
      <c r="J350" s="33" t="n">
        <f aca="false">IF(D350&lt;=0,0,IF(AND('Loan Details'!$B$10="Keep tenure, change EMI",OR(C350&lt;&gt;C349,H349&gt;0)),ROUND(PMT(C350/12,MAX(1,'Loan Details'!$B$8-A350+1),-D350),0),J349))</f>
        <v>0</v>
      </c>
    </row>
    <row r="351" customFormat="false" ht="15" hidden="false" customHeight="true" outlineLevel="0" collapsed="false">
      <c r="A351" s="24" t="n">
        <f aca="false">347</f>
        <v>347</v>
      </c>
      <c r="B351" s="32" t="n">
        <f aca="false">EDATE('Loan Details'!$B$9,346)</f>
        <v>56678</v>
      </c>
      <c r="C351" s="25" t="n">
        <f aca="false">LOOKUP(A351,'Loan Details'!$J$6:$J$14,'Loan Details'!$K$6:$K$14)</f>
        <v>0.0825</v>
      </c>
      <c r="D351" s="33" t="n">
        <f aca="false">I350</f>
        <v>0</v>
      </c>
      <c r="E351" s="33" t="n">
        <f aca="false">IF(D351&lt;=0,0,MIN(J351,D351+F351))</f>
        <v>0</v>
      </c>
      <c r="F351" s="33" t="n">
        <f aca="false">IF(D351&lt;=0,0,ROUND(D351*C351/12,0))</f>
        <v>0</v>
      </c>
      <c r="G351" s="33" t="n">
        <f aca="false">E351-F351</f>
        <v>0</v>
      </c>
      <c r="H351" s="33" t="n">
        <f aca="false">IF(D351&lt;=0,0,MIN(SUMIF('Loan Details'!$G$6:$G$20,A351,'Loan Details'!$H$6:$H$20),D351-G351))</f>
        <v>0</v>
      </c>
      <c r="I351" s="33" t="n">
        <f aca="false">MAX(0,D351-G351-H351)</f>
        <v>0</v>
      </c>
      <c r="J351" s="33" t="n">
        <f aca="false">IF(D351&lt;=0,0,IF(AND('Loan Details'!$B$10="Keep tenure, change EMI",OR(C351&lt;&gt;C350,H350&gt;0)),ROUND(PMT(C351/12,MAX(1,'Loan Details'!$B$8-A351+1),-D351),0),J350))</f>
        <v>0</v>
      </c>
    </row>
    <row r="352" customFormat="false" ht="15" hidden="false" customHeight="true" outlineLevel="0" collapsed="false">
      <c r="A352" s="24" t="n">
        <f aca="false">348</f>
        <v>348</v>
      </c>
      <c r="B352" s="32" t="n">
        <f aca="false">EDATE('Loan Details'!$B$9,347)</f>
        <v>56709</v>
      </c>
      <c r="C352" s="25" t="n">
        <f aca="false">LOOKUP(A352,'Loan Details'!$J$6:$J$14,'Loan Details'!$K$6:$K$14)</f>
        <v>0.0825</v>
      </c>
      <c r="D352" s="33" t="n">
        <f aca="false">I351</f>
        <v>0</v>
      </c>
      <c r="E352" s="33" t="n">
        <f aca="false">IF(D352&lt;=0,0,MIN(J352,D352+F352))</f>
        <v>0</v>
      </c>
      <c r="F352" s="33" t="n">
        <f aca="false">IF(D352&lt;=0,0,ROUND(D352*C352/12,0))</f>
        <v>0</v>
      </c>
      <c r="G352" s="33" t="n">
        <f aca="false">E352-F352</f>
        <v>0</v>
      </c>
      <c r="H352" s="33" t="n">
        <f aca="false">IF(D352&lt;=0,0,MIN(SUMIF('Loan Details'!$G$6:$G$20,A352,'Loan Details'!$H$6:$H$20),D352-G352))</f>
        <v>0</v>
      </c>
      <c r="I352" s="33" t="n">
        <f aca="false">MAX(0,D352-G352-H352)</f>
        <v>0</v>
      </c>
      <c r="J352" s="33" t="n">
        <f aca="false">IF(D352&lt;=0,0,IF(AND('Loan Details'!$B$10="Keep tenure, change EMI",OR(C352&lt;&gt;C351,H351&gt;0)),ROUND(PMT(C352/12,MAX(1,'Loan Details'!$B$8-A352+1),-D352),0),J351))</f>
        <v>0</v>
      </c>
    </row>
    <row r="353" customFormat="false" ht="15" hidden="false" customHeight="true" outlineLevel="0" collapsed="false">
      <c r="A353" s="24" t="n">
        <f aca="false">349</f>
        <v>349</v>
      </c>
      <c r="B353" s="32" t="n">
        <f aca="false">EDATE('Loan Details'!$B$9,348)</f>
        <v>56739</v>
      </c>
      <c r="C353" s="25" t="n">
        <f aca="false">LOOKUP(A353,'Loan Details'!$J$6:$J$14,'Loan Details'!$K$6:$K$14)</f>
        <v>0.0825</v>
      </c>
      <c r="D353" s="33" t="n">
        <f aca="false">I352</f>
        <v>0</v>
      </c>
      <c r="E353" s="33" t="n">
        <f aca="false">IF(D353&lt;=0,0,MIN(J353,D353+F353))</f>
        <v>0</v>
      </c>
      <c r="F353" s="33" t="n">
        <f aca="false">IF(D353&lt;=0,0,ROUND(D353*C353/12,0))</f>
        <v>0</v>
      </c>
      <c r="G353" s="33" t="n">
        <f aca="false">E353-F353</f>
        <v>0</v>
      </c>
      <c r="H353" s="33" t="n">
        <f aca="false">IF(D353&lt;=0,0,MIN(SUMIF('Loan Details'!$G$6:$G$20,A353,'Loan Details'!$H$6:$H$20),D353-G353))</f>
        <v>0</v>
      </c>
      <c r="I353" s="33" t="n">
        <f aca="false">MAX(0,D353-G353-H353)</f>
        <v>0</v>
      </c>
      <c r="J353" s="33" t="n">
        <f aca="false">IF(D353&lt;=0,0,IF(AND('Loan Details'!$B$10="Keep tenure, change EMI",OR(C353&lt;&gt;C352,H352&gt;0)),ROUND(PMT(C353/12,MAX(1,'Loan Details'!$B$8-A353+1),-D353),0),J352))</f>
        <v>0</v>
      </c>
    </row>
    <row r="354" customFormat="false" ht="15" hidden="false" customHeight="true" outlineLevel="0" collapsed="false">
      <c r="A354" s="24" t="n">
        <f aca="false">350</f>
        <v>350</v>
      </c>
      <c r="B354" s="32" t="n">
        <f aca="false">EDATE('Loan Details'!$B$9,349)</f>
        <v>56770</v>
      </c>
      <c r="C354" s="25" t="n">
        <f aca="false">LOOKUP(A354,'Loan Details'!$J$6:$J$14,'Loan Details'!$K$6:$K$14)</f>
        <v>0.0825</v>
      </c>
      <c r="D354" s="33" t="n">
        <f aca="false">I353</f>
        <v>0</v>
      </c>
      <c r="E354" s="33" t="n">
        <f aca="false">IF(D354&lt;=0,0,MIN(J354,D354+F354))</f>
        <v>0</v>
      </c>
      <c r="F354" s="33" t="n">
        <f aca="false">IF(D354&lt;=0,0,ROUND(D354*C354/12,0))</f>
        <v>0</v>
      </c>
      <c r="G354" s="33" t="n">
        <f aca="false">E354-F354</f>
        <v>0</v>
      </c>
      <c r="H354" s="33" t="n">
        <f aca="false">IF(D354&lt;=0,0,MIN(SUMIF('Loan Details'!$G$6:$G$20,A354,'Loan Details'!$H$6:$H$20),D354-G354))</f>
        <v>0</v>
      </c>
      <c r="I354" s="33" t="n">
        <f aca="false">MAX(0,D354-G354-H354)</f>
        <v>0</v>
      </c>
      <c r="J354" s="33" t="n">
        <f aca="false">IF(D354&lt;=0,0,IF(AND('Loan Details'!$B$10="Keep tenure, change EMI",OR(C354&lt;&gt;C353,H353&gt;0)),ROUND(PMT(C354/12,MAX(1,'Loan Details'!$B$8-A354+1),-D354),0),J353))</f>
        <v>0</v>
      </c>
    </row>
    <row r="355" customFormat="false" ht="15" hidden="false" customHeight="true" outlineLevel="0" collapsed="false">
      <c r="A355" s="24" t="n">
        <f aca="false">351</f>
        <v>351</v>
      </c>
      <c r="B355" s="32" t="n">
        <f aca="false">EDATE('Loan Details'!$B$9,350)</f>
        <v>56800</v>
      </c>
      <c r="C355" s="25" t="n">
        <f aca="false">LOOKUP(A355,'Loan Details'!$J$6:$J$14,'Loan Details'!$K$6:$K$14)</f>
        <v>0.0825</v>
      </c>
      <c r="D355" s="33" t="n">
        <f aca="false">I354</f>
        <v>0</v>
      </c>
      <c r="E355" s="33" t="n">
        <f aca="false">IF(D355&lt;=0,0,MIN(J355,D355+F355))</f>
        <v>0</v>
      </c>
      <c r="F355" s="33" t="n">
        <f aca="false">IF(D355&lt;=0,0,ROUND(D355*C355/12,0))</f>
        <v>0</v>
      </c>
      <c r="G355" s="33" t="n">
        <f aca="false">E355-F355</f>
        <v>0</v>
      </c>
      <c r="H355" s="33" t="n">
        <f aca="false">IF(D355&lt;=0,0,MIN(SUMIF('Loan Details'!$G$6:$G$20,A355,'Loan Details'!$H$6:$H$20),D355-G355))</f>
        <v>0</v>
      </c>
      <c r="I355" s="33" t="n">
        <f aca="false">MAX(0,D355-G355-H355)</f>
        <v>0</v>
      </c>
      <c r="J355" s="33" t="n">
        <f aca="false">IF(D355&lt;=0,0,IF(AND('Loan Details'!$B$10="Keep tenure, change EMI",OR(C355&lt;&gt;C354,H354&gt;0)),ROUND(PMT(C355/12,MAX(1,'Loan Details'!$B$8-A355+1),-D355),0),J354))</f>
        <v>0</v>
      </c>
    </row>
    <row r="356" customFormat="false" ht="15" hidden="false" customHeight="true" outlineLevel="0" collapsed="false">
      <c r="A356" s="24" t="n">
        <f aca="false">352</f>
        <v>352</v>
      </c>
      <c r="B356" s="32" t="n">
        <f aca="false">EDATE('Loan Details'!$B$9,351)</f>
        <v>56831</v>
      </c>
      <c r="C356" s="25" t="n">
        <f aca="false">LOOKUP(A356,'Loan Details'!$J$6:$J$14,'Loan Details'!$K$6:$K$14)</f>
        <v>0.0825</v>
      </c>
      <c r="D356" s="33" t="n">
        <f aca="false">I355</f>
        <v>0</v>
      </c>
      <c r="E356" s="33" t="n">
        <f aca="false">IF(D356&lt;=0,0,MIN(J356,D356+F356))</f>
        <v>0</v>
      </c>
      <c r="F356" s="33" t="n">
        <f aca="false">IF(D356&lt;=0,0,ROUND(D356*C356/12,0))</f>
        <v>0</v>
      </c>
      <c r="G356" s="33" t="n">
        <f aca="false">E356-F356</f>
        <v>0</v>
      </c>
      <c r="H356" s="33" t="n">
        <f aca="false">IF(D356&lt;=0,0,MIN(SUMIF('Loan Details'!$G$6:$G$20,A356,'Loan Details'!$H$6:$H$20),D356-G356))</f>
        <v>0</v>
      </c>
      <c r="I356" s="33" t="n">
        <f aca="false">MAX(0,D356-G356-H356)</f>
        <v>0</v>
      </c>
      <c r="J356" s="33" t="n">
        <f aca="false">IF(D356&lt;=0,0,IF(AND('Loan Details'!$B$10="Keep tenure, change EMI",OR(C356&lt;&gt;C355,H355&gt;0)),ROUND(PMT(C356/12,MAX(1,'Loan Details'!$B$8-A356+1),-D356),0),J355))</f>
        <v>0</v>
      </c>
    </row>
    <row r="357" customFormat="false" ht="15" hidden="false" customHeight="true" outlineLevel="0" collapsed="false">
      <c r="A357" s="24" t="n">
        <f aca="false">353</f>
        <v>353</v>
      </c>
      <c r="B357" s="32" t="n">
        <f aca="false">EDATE('Loan Details'!$B$9,352)</f>
        <v>56862</v>
      </c>
      <c r="C357" s="25" t="n">
        <f aca="false">LOOKUP(A357,'Loan Details'!$J$6:$J$14,'Loan Details'!$K$6:$K$14)</f>
        <v>0.0825</v>
      </c>
      <c r="D357" s="33" t="n">
        <f aca="false">I356</f>
        <v>0</v>
      </c>
      <c r="E357" s="33" t="n">
        <f aca="false">IF(D357&lt;=0,0,MIN(J357,D357+F357))</f>
        <v>0</v>
      </c>
      <c r="F357" s="33" t="n">
        <f aca="false">IF(D357&lt;=0,0,ROUND(D357*C357/12,0))</f>
        <v>0</v>
      </c>
      <c r="G357" s="33" t="n">
        <f aca="false">E357-F357</f>
        <v>0</v>
      </c>
      <c r="H357" s="33" t="n">
        <f aca="false">IF(D357&lt;=0,0,MIN(SUMIF('Loan Details'!$G$6:$G$20,A357,'Loan Details'!$H$6:$H$20),D357-G357))</f>
        <v>0</v>
      </c>
      <c r="I357" s="33" t="n">
        <f aca="false">MAX(0,D357-G357-H357)</f>
        <v>0</v>
      </c>
      <c r="J357" s="33" t="n">
        <f aca="false">IF(D357&lt;=0,0,IF(AND('Loan Details'!$B$10="Keep tenure, change EMI",OR(C357&lt;&gt;C356,H356&gt;0)),ROUND(PMT(C357/12,MAX(1,'Loan Details'!$B$8-A357+1),-D357),0),J356))</f>
        <v>0</v>
      </c>
    </row>
    <row r="358" customFormat="false" ht="15" hidden="false" customHeight="true" outlineLevel="0" collapsed="false">
      <c r="A358" s="24" t="n">
        <f aca="false">354</f>
        <v>354</v>
      </c>
      <c r="B358" s="32" t="n">
        <f aca="false">EDATE('Loan Details'!$B$9,353)</f>
        <v>56892</v>
      </c>
      <c r="C358" s="25" t="n">
        <f aca="false">LOOKUP(A358,'Loan Details'!$J$6:$J$14,'Loan Details'!$K$6:$K$14)</f>
        <v>0.0825</v>
      </c>
      <c r="D358" s="33" t="n">
        <f aca="false">I357</f>
        <v>0</v>
      </c>
      <c r="E358" s="33" t="n">
        <f aca="false">IF(D358&lt;=0,0,MIN(J358,D358+F358))</f>
        <v>0</v>
      </c>
      <c r="F358" s="33" t="n">
        <f aca="false">IF(D358&lt;=0,0,ROUND(D358*C358/12,0))</f>
        <v>0</v>
      </c>
      <c r="G358" s="33" t="n">
        <f aca="false">E358-F358</f>
        <v>0</v>
      </c>
      <c r="H358" s="33" t="n">
        <f aca="false">IF(D358&lt;=0,0,MIN(SUMIF('Loan Details'!$G$6:$G$20,A358,'Loan Details'!$H$6:$H$20),D358-G358))</f>
        <v>0</v>
      </c>
      <c r="I358" s="33" t="n">
        <f aca="false">MAX(0,D358-G358-H358)</f>
        <v>0</v>
      </c>
      <c r="J358" s="33" t="n">
        <f aca="false">IF(D358&lt;=0,0,IF(AND('Loan Details'!$B$10="Keep tenure, change EMI",OR(C358&lt;&gt;C357,H357&gt;0)),ROUND(PMT(C358/12,MAX(1,'Loan Details'!$B$8-A358+1),-D358),0),J357))</f>
        <v>0</v>
      </c>
    </row>
    <row r="359" customFormat="false" ht="15" hidden="false" customHeight="true" outlineLevel="0" collapsed="false">
      <c r="A359" s="24" t="n">
        <f aca="false">355</f>
        <v>355</v>
      </c>
      <c r="B359" s="32" t="n">
        <f aca="false">EDATE('Loan Details'!$B$9,354)</f>
        <v>56923</v>
      </c>
      <c r="C359" s="25" t="n">
        <f aca="false">LOOKUP(A359,'Loan Details'!$J$6:$J$14,'Loan Details'!$K$6:$K$14)</f>
        <v>0.0825</v>
      </c>
      <c r="D359" s="33" t="n">
        <f aca="false">I358</f>
        <v>0</v>
      </c>
      <c r="E359" s="33" t="n">
        <f aca="false">IF(D359&lt;=0,0,MIN(J359,D359+F359))</f>
        <v>0</v>
      </c>
      <c r="F359" s="33" t="n">
        <f aca="false">IF(D359&lt;=0,0,ROUND(D359*C359/12,0))</f>
        <v>0</v>
      </c>
      <c r="G359" s="33" t="n">
        <f aca="false">E359-F359</f>
        <v>0</v>
      </c>
      <c r="H359" s="33" t="n">
        <f aca="false">IF(D359&lt;=0,0,MIN(SUMIF('Loan Details'!$G$6:$G$20,A359,'Loan Details'!$H$6:$H$20),D359-G359))</f>
        <v>0</v>
      </c>
      <c r="I359" s="33" t="n">
        <f aca="false">MAX(0,D359-G359-H359)</f>
        <v>0</v>
      </c>
      <c r="J359" s="33" t="n">
        <f aca="false">IF(D359&lt;=0,0,IF(AND('Loan Details'!$B$10="Keep tenure, change EMI",OR(C359&lt;&gt;C358,H358&gt;0)),ROUND(PMT(C359/12,MAX(1,'Loan Details'!$B$8-A359+1),-D359),0),J358))</f>
        <v>0</v>
      </c>
    </row>
    <row r="360" customFormat="false" ht="15" hidden="false" customHeight="true" outlineLevel="0" collapsed="false">
      <c r="A360" s="24" t="n">
        <f aca="false">356</f>
        <v>356</v>
      </c>
      <c r="B360" s="32" t="n">
        <f aca="false">EDATE('Loan Details'!$B$9,355)</f>
        <v>56953</v>
      </c>
      <c r="C360" s="25" t="n">
        <f aca="false">LOOKUP(A360,'Loan Details'!$J$6:$J$14,'Loan Details'!$K$6:$K$14)</f>
        <v>0.0825</v>
      </c>
      <c r="D360" s="33" t="n">
        <f aca="false">I359</f>
        <v>0</v>
      </c>
      <c r="E360" s="33" t="n">
        <f aca="false">IF(D360&lt;=0,0,MIN(J360,D360+F360))</f>
        <v>0</v>
      </c>
      <c r="F360" s="33" t="n">
        <f aca="false">IF(D360&lt;=0,0,ROUND(D360*C360/12,0))</f>
        <v>0</v>
      </c>
      <c r="G360" s="33" t="n">
        <f aca="false">E360-F360</f>
        <v>0</v>
      </c>
      <c r="H360" s="33" t="n">
        <f aca="false">IF(D360&lt;=0,0,MIN(SUMIF('Loan Details'!$G$6:$G$20,A360,'Loan Details'!$H$6:$H$20),D360-G360))</f>
        <v>0</v>
      </c>
      <c r="I360" s="33" t="n">
        <f aca="false">MAX(0,D360-G360-H360)</f>
        <v>0</v>
      </c>
      <c r="J360" s="33" t="n">
        <f aca="false">IF(D360&lt;=0,0,IF(AND('Loan Details'!$B$10="Keep tenure, change EMI",OR(C360&lt;&gt;C359,H359&gt;0)),ROUND(PMT(C360/12,MAX(1,'Loan Details'!$B$8-A360+1),-D360),0),J359))</f>
        <v>0</v>
      </c>
    </row>
    <row r="361" customFormat="false" ht="15" hidden="false" customHeight="true" outlineLevel="0" collapsed="false">
      <c r="A361" s="24" t="n">
        <f aca="false">357</f>
        <v>357</v>
      </c>
      <c r="B361" s="32" t="n">
        <f aca="false">EDATE('Loan Details'!$B$9,356)</f>
        <v>56984</v>
      </c>
      <c r="C361" s="25" t="n">
        <f aca="false">LOOKUP(A361,'Loan Details'!$J$6:$J$14,'Loan Details'!$K$6:$K$14)</f>
        <v>0.0825</v>
      </c>
      <c r="D361" s="33" t="n">
        <f aca="false">I360</f>
        <v>0</v>
      </c>
      <c r="E361" s="33" t="n">
        <f aca="false">IF(D361&lt;=0,0,MIN(J361,D361+F361))</f>
        <v>0</v>
      </c>
      <c r="F361" s="33" t="n">
        <f aca="false">IF(D361&lt;=0,0,ROUND(D361*C361/12,0))</f>
        <v>0</v>
      </c>
      <c r="G361" s="33" t="n">
        <f aca="false">E361-F361</f>
        <v>0</v>
      </c>
      <c r="H361" s="33" t="n">
        <f aca="false">IF(D361&lt;=0,0,MIN(SUMIF('Loan Details'!$G$6:$G$20,A361,'Loan Details'!$H$6:$H$20),D361-G361))</f>
        <v>0</v>
      </c>
      <c r="I361" s="33" t="n">
        <f aca="false">MAX(0,D361-G361-H361)</f>
        <v>0</v>
      </c>
      <c r="J361" s="33" t="n">
        <f aca="false">IF(D361&lt;=0,0,IF(AND('Loan Details'!$B$10="Keep tenure, change EMI",OR(C361&lt;&gt;C360,H360&gt;0)),ROUND(PMT(C361/12,MAX(1,'Loan Details'!$B$8-A361+1),-D361),0),J360))</f>
        <v>0</v>
      </c>
    </row>
    <row r="362" customFormat="false" ht="15" hidden="false" customHeight="true" outlineLevel="0" collapsed="false">
      <c r="A362" s="24" t="n">
        <f aca="false">358</f>
        <v>358</v>
      </c>
      <c r="B362" s="32" t="n">
        <f aca="false">EDATE('Loan Details'!$B$9,357)</f>
        <v>57015</v>
      </c>
      <c r="C362" s="25" t="n">
        <f aca="false">LOOKUP(A362,'Loan Details'!$J$6:$J$14,'Loan Details'!$K$6:$K$14)</f>
        <v>0.0825</v>
      </c>
      <c r="D362" s="33" t="n">
        <f aca="false">I361</f>
        <v>0</v>
      </c>
      <c r="E362" s="33" t="n">
        <f aca="false">IF(D362&lt;=0,0,MIN(J362,D362+F362))</f>
        <v>0</v>
      </c>
      <c r="F362" s="33" t="n">
        <f aca="false">IF(D362&lt;=0,0,ROUND(D362*C362/12,0))</f>
        <v>0</v>
      </c>
      <c r="G362" s="33" t="n">
        <f aca="false">E362-F362</f>
        <v>0</v>
      </c>
      <c r="H362" s="33" t="n">
        <f aca="false">IF(D362&lt;=0,0,MIN(SUMIF('Loan Details'!$G$6:$G$20,A362,'Loan Details'!$H$6:$H$20),D362-G362))</f>
        <v>0</v>
      </c>
      <c r="I362" s="33" t="n">
        <f aca="false">MAX(0,D362-G362-H362)</f>
        <v>0</v>
      </c>
      <c r="J362" s="33" t="n">
        <f aca="false">IF(D362&lt;=0,0,IF(AND('Loan Details'!$B$10="Keep tenure, change EMI",OR(C362&lt;&gt;C361,H361&gt;0)),ROUND(PMT(C362/12,MAX(1,'Loan Details'!$B$8-A362+1),-D362),0),J361))</f>
        <v>0</v>
      </c>
    </row>
    <row r="363" customFormat="false" ht="15" hidden="false" customHeight="true" outlineLevel="0" collapsed="false">
      <c r="A363" s="24" t="n">
        <f aca="false">359</f>
        <v>359</v>
      </c>
      <c r="B363" s="32" t="n">
        <f aca="false">EDATE('Loan Details'!$B$9,358)</f>
        <v>57044</v>
      </c>
      <c r="C363" s="25" t="n">
        <f aca="false">LOOKUP(A363,'Loan Details'!$J$6:$J$14,'Loan Details'!$K$6:$K$14)</f>
        <v>0.0825</v>
      </c>
      <c r="D363" s="33" t="n">
        <f aca="false">I362</f>
        <v>0</v>
      </c>
      <c r="E363" s="33" t="n">
        <f aca="false">IF(D363&lt;=0,0,MIN(J363,D363+F363))</f>
        <v>0</v>
      </c>
      <c r="F363" s="33" t="n">
        <f aca="false">IF(D363&lt;=0,0,ROUND(D363*C363/12,0))</f>
        <v>0</v>
      </c>
      <c r="G363" s="33" t="n">
        <f aca="false">E363-F363</f>
        <v>0</v>
      </c>
      <c r="H363" s="33" t="n">
        <f aca="false">IF(D363&lt;=0,0,MIN(SUMIF('Loan Details'!$G$6:$G$20,A363,'Loan Details'!$H$6:$H$20),D363-G363))</f>
        <v>0</v>
      </c>
      <c r="I363" s="33" t="n">
        <f aca="false">MAX(0,D363-G363-H363)</f>
        <v>0</v>
      </c>
      <c r="J363" s="33" t="n">
        <f aca="false">IF(D363&lt;=0,0,IF(AND('Loan Details'!$B$10="Keep tenure, change EMI",OR(C363&lt;&gt;C362,H362&gt;0)),ROUND(PMT(C363/12,MAX(1,'Loan Details'!$B$8-A363+1),-D363),0),J362))</f>
        <v>0</v>
      </c>
    </row>
    <row r="364" customFormat="false" ht="15" hidden="false" customHeight="true" outlineLevel="0" collapsed="false">
      <c r="A364" s="24" t="n">
        <f aca="false">360</f>
        <v>360</v>
      </c>
      <c r="B364" s="32" t="n">
        <f aca="false">EDATE('Loan Details'!$B$9,359)</f>
        <v>57075</v>
      </c>
      <c r="C364" s="25" t="n">
        <f aca="false">LOOKUP(A364,'Loan Details'!$J$6:$J$14,'Loan Details'!$K$6:$K$14)</f>
        <v>0.0825</v>
      </c>
      <c r="D364" s="33" t="n">
        <f aca="false">I363</f>
        <v>0</v>
      </c>
      <c r="E364" s="33" t="n">
        <f aca="false">IF(D364&lt;=0,0,MIN(J364,D364+F364))</f>
        <v>0</v>
      </c>
      <c r="F364" s="33" t="n">
        <f aca="false">IF(D364&lt;=0,0,ROUND(D364*C364/12,0))</f>
        <v>0</v>
      </c>
      <c r="G364" s="33" t="n">
        <f aca="false">E364-F364</f>
        <v>0</v>
      </c>
      <c r="H364" s="33" t="n">
        <f aca="false">IF(D364&lt;=0,0,MIN(SUMIF('Loan Details'!$G$6:$G$20,A364,'Loan Details'!$H$6:$H$20),D364-G364))</f>
        <v>0</v>
      </c>
      <c r="I364" s="33" t="n">
        <f aca="false">MAX(0,D364-G364-H364)</f>
        <v>0</v>
      </c>
      <c r="J364" s="33" t="n">
        <f aca="false">IF(D364&lt;=0,0,IF(AND('Loan Details'!$B$10="Keep tenure, change EMI",OR(C364&lt;&gt;C363,H363&gt;0)),ROUND(PMT(C364/12,MAX(1,'Loan Details'!$B$8-A364+1),-D364),0),J363))</f>
        <v>0</v>
      </c>
    </row>
  </sheetData>
  <conditionalFormatting sqref="A5:J364">
    <cfRule type="expression" priority="2" aboveAverage="0" equalAverage="0" bottom="0" percent="0" rank="0" text="" dxfId="0">
      <formula>$D5&lt;=0</formula>
    </cfRule>
  </conditionalFormatting>
  <conditionalFormatting sqref="G5:G364">
    <cfRule type="cellIs" priority="3" operator="lessThan" aboveAverage="0" equalAverage="0" bottom="0" percent="0" rank="0" text="" dxfId="1">
      <formula>0</formula>
    </cfRule>
  </conditionalFormatting>
  <conditionalFormatting sqref="H5:H364">
    <cfRule type="cellIs" priority="4" operator="greaterThan" aboveAverage="0" equalAverage="0" bottom="0" percent="0" rank="0" text="" dxfId="2">
      <formula>0</formula>
    </cfRule>
  </conditionalFormatting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&amp;L&amp;8 PB Lab · pblab.in/templates&amp;R&amp;8 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70AD47"/>
    <pageSetUpPr fitToPage="true"/>
  </sheetPr>
  <dimension ref="A1:C3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6"/>
    <col collapsed="false" customWidth="true" hidden="false" outlineLevel="0" max="3" min="2" style="1" width="18"/>
  </cols>
  <sheetData>
    <row r="1" customFormat="false" ht="21.75" hidden="false" customHeight="true" outlineLevel="0" collapsed="false">
      <c r="A1" s="13" t="s">
        <v>82</v>
      </c>
      <c r="C1" s="14" t="s">
        <v>51</v>
      </c>
    </row>
    <row r="2" customFormat="false" ht="15" hidden="false" customHeight="true" outlineLevel="0" collapsed="false">
      <c r="A2" s="3" t="str">
        <f aca="false">'Loan Details'!$B$5</f>
        <v>Home loan – SBI</v>
      </c>
    </row>
    <row r="4" customFormat="false" ht="21.75" hidden="false" customHeight="true" outlineLevel="0" collapsed="false">
      <c r="A4" s="19"/>
      <c r="B4" s="20" t="s">
        <v>83</v>
      </c>
      <c r="C4" s="20" t="s">
        <v>84</v>
      </c>
    </row>
    <row r="5" customFormat="false" ht="15" hidden="false" customHeight="true" outlineLevel="0" collapsed="false">
      <c r="A5" s="17" t="s">
        <v>85</v>
      </c>
      <c r="B5" s="33" t="n">
        <f aca="false">'Loan Details'!$B$6</f>
        <v>3000000</v>
      </c>
      <c r="C5" s="33" t="n">
        <f aca="false">'Loan Details'!$B$6</f>
        <v>3000000</v>
      </c>
    </row>
    <row r="6" customFormat="false" ht="15" hidden="false" customHeight="true" outlineLevel="0" collapsed="false">
      <c r="A6" s="17" t="s">
        <v>86</v>
      </c>
      <c r="B6" s="33" t="n">
        <f aca="false">'Loan Details'!$B$12</f>
        <v>26035</v>
      </c>
      <c r="C6" s="33" t="n">
        <f aca="false">'Loan Details'!$B$12</f>
        <v>26035</v>
      </c>
    </row>
    <row r="7" customFormat="false" ht="15" hidden="false" customHeight="true" outlineLevel="0" collapsed="false">
      <c r="A7" s="17" t="s">
        <v>87</v>
      </c>
      <c r="B7" s="24" t="n">
        <f aca="false">COUNTIF(Schedule!$E$5:$E$364,"&gt;0")</f>
        <v>172</v>
      </c>
      <c r="C7" s="24" t="n">
        <f aca="false">'Loan Details'!$B$8</f>
        <v>240</v>
      </c>
    </row>
    <row r="8" customFormat="false" ht="15" hidden="false" customHeight="true" outlineLevel="0" collapsed="false">
      <c r="A8" s="17" t="s">
        <v>88</v>
      </c>
      <c r="B8" s="32" t="n">
        <f aca="false">INDEX(Schedule!$B$5:$B$364,B7)</f>
        <v>51353</v>
      </c>
      <c r="C8" s="32" t="n">
        <f aca="false">EDATE('Loan Details'!$B$9,'Loan Details'!$B$8-1)</f>
        <v>53422</v>
      </c>
    </row>
    <row r="9" customFormat="false" ht="15" hidden="false" customHeight="true" outlineLevel="0" collapsed="false">
      <c r="A9" s="4" t="s">
        <v>89</v>
      </c>
      <c r="B9" s="34" t="n">
        <f aca="false">SUM(Schedule!$F$5:$F$364)</f>
        <v>1961503</v>
      </c>
      <c r="C9" s="34" t="n">
        <f aca="false">'Loan Details'!$B$12*'Loan Details'!$B$8-'Loan Details'!$B$6</f>
        <v>3248400</v>
      </c>
    </row>
    <row r="10" customFormat="false" ht="15" hidden="false" customHeight="true" outlineLevel="0" collapsed="false">
      <c r="A10" s="17" t="s">
        <v>28</v>
      </c>
      <c r="B10" s="33" t="n">
        <f aca="false">SUM(Schedule!$H$5:$H$364)</f>
        <v>500000</v>
      </c>
      <c r="C10" s="33" t="n">
        <f aca="false">0</f>
        <v>0</v>
      </c>
    </row>
    <row r="11" customFormat="false" ht="15" hidden="false" customHeight="true" outlineLevel="0" collapsed="false">
      <c r="A11" s="17" t="s">
        <v>90</v>
      </c>
      <c r="B11" s="33" t="n">
        <f aca="false">SUM(Schedule!$E$5:$E$364)+B10</f>
        <v>4961503</v>
      </c>
      <c r="C11" s="33" t="n">
        <f aca="false">'Loan Details'!$B$12*'Loan Details'!$B$8</f>
        <v>6248400</v>
      </c>
    </row>
    <row r="13" customFormat="false" ht="15" hidden="false" customHeight="true" outlineLevel="0" collapsed="false">
      <c r="A13" s="4" t="s">
        <v>91</v>
      </c>
      <c r="B13" s="34" t="n">
        <f aca="false">C9-B9</f>
        <v>1286897</v>
      </c>
    </row>
    <row r="14" customFormat="false" ht="15" hidden="false" customHeight="true" outlineLevel="0" collapsed="false">
      <c r="A14" s="4" t="s">
        <v>92</v>
      </c>
      <c r="B14" s="35" t="n">
        <f aca="false">C7-B7</f>
        <v>68</v>
      </c>
    </row>
    <row r="16" customFormat="false" ht="15" hidden="false" customHeight="true" outlineLevel="0" collapsed="false">
      <c r="A16" s="3" t="s">
        <v>93</v>
      </c>
      <c r="B16" s="36" t="str">
        <f aca="false">IF(ABS(SUM(Schedule!$G$5:$G$364)+SUM(Schedule!$H$5:$H$364)-'Loan Details'!$B$6)&lt;1,"OK","CHECK")</f>
        <v>OK</v>
      </c>
      <c r="C16" s="3" t="str">
        <f aca="false">IF(B16="CHECK","Loan not repaid within 360 EMIs – raise the EMI or tenure","")</f>
        <v/>
      </c>
    </row>
    <row r="17" customFormat="false" ht="15" hidden="false" customHeight="true" outlineLevel="0" collapsed="false">
      <c r="A17" s="3" t="s">
        <v>94</v>
      </c>
      <c r="B17" s="24" t="n">
        <f aca="false">COUNTIF(Schedule!$G$5:$G$364,"&lt;0")</f>
        <v>0</v>
      </c>
    </row>
    <row r="19" customFormat="false" ht="15" hidden="false" customHeight="true" outlineLevel="0" collapsed="false">
      <c r="A19" s="4" t="s">
        <v>95</v>
      </c>
      <c r="B19" s="4" t="s">
        <v>77</v>
      </c>
      <c r="C19" s="4" t="s">
        <v>96</v>
      </c>
    </row>
    <row r="20" customFormat="false" ht="15" hidden="false" customHeight="true" outlineLevel="0" collapsed="false">
      <c r="A20" s="1" t="s">
        <v>97</v>
      </c>
      <c r="B20" s="33" t="n">
        <f aca="false">SUM(Schedule!F5:F16)</f>
        <v>252710</v>
      </c>
      <c r="C20" s="33" t="n">
        <f aca="false">SUM(Schedule!G5:H16)</f>
        <v>59710</v>
      </c>
    </row>
    <row r="21" customFormat="false" ht="15" hidden="false" customHeight="true" outlineLevel="0" collapsed="false">
      <c r="A21" s="1" t="s">
        <v>98</v>
      </c>
      <c r="B21" s="33" t="n">
        <f aca="false">SUM(Schedule!F17:F28)</f>
        <v>231284</v>
      </c>
      <c r="C21" s="33" t="n">
        <f aca="false">SUM(Schedule!G17:H28)</f>
        <v>281136</v>
      </c>
    </row>
    <row r="22" customFormat="false" ht="15" hidden="false" customHeight="true" outlineLevel="0" collapsed="false">
      <c r="A22" s="1" t="s">
        <v>99</v>
      </c>
      <c r="B22" s="33" t="n">
        <f aca="false">SUM(Schedule!F29:F40)</f>
        <v>229400</v>
      </c>
      <c r="C22" s="33" t="n">
        <f aca="false">SUM(Schedule!G29:H40)</f>
        <v>83020</v>
      </c>
    </row>
    <row r="23" customFormat="false" ht="15" hidden="false" customHeight="true" outlineLevel="0" collapsed="false">
      <c r="A23" s="1" t="s">
        <v>100</v>
      </c>
      <c r="B23" s="33" t="n">
        <f aca="false">SUM(Schedule!F41:F52)</f>
        <v>196878</v>
      </c>
      <c r="C23" s="33" t="n">
        <f aca="false">SUM(Schedule!G41:H52)</f>
        <v>415542</v>
      </c>
    </row>
    <row r="24" customFormat="false" ht="15" hidden="false" customHeight="true" outlineLevel="0" collapsed="false">
      <c r="A24" s="1" t="s">
        <v>101</v>
      </c>
      <c r="B24" s="33" t="n">
        <f aca="false">SUM(Schedule!F53:F64)</f>
        <v>173057</v>
      </c>
      <c r="C24" s="33" t="n">
        <f aca="false">SUM(Schedule!G53:H64)</f>
        <v>139363</v>
      </c>
    </row>
    <row r="25" customFormat="false" ht="15" hidden="false" customHeight="true" outlineLevel="0" collapsed="false">
      <c r="A25" s="1" t="s">
        <v>102</v>
      </c>
      <c r="B25" s="33" t="n">
        <f aca="false">SUM(Schedule!F65:F76)</f>
        <v>161116</v>
      </c>
      <c r="C25" s="33" t="n">
        <f aca="false">SUM(Schedule!G65:H76)</f>
        <v>151304</v>
      </c>
    </row>
    <row r="26" customFormat="false" ht="15" hidden="false" customHeight="true" outlineLevel="0" collapsed="false">
      <c r="A26" s="1" t="s">
        <v>103</v>
      </c>
      <c r="B26" s="33" t="n">
        <f aca="false">SUM(Schedule!F77:F88)</f>
        <v>148149</v>
      </c>
      <c r="C26" s="33" t="n">
        <f aca="false">SUM(Schedule!G77:H88)</f>
        <v>164271</v>
      </c>
    </row>
    <row r="27" customFormat="false" ht="15" hidden="false" customHeight="true" outlineLevel="0" collapsed="false">
      <c r="A27" s="1" t="s">
        <v>104</v>
      </c>
      <c r="B27" s="33" t="n">
        <f aca="false">SUM(Schedule!F89:F100)</f>
        <v>134072</v>
      </c>
      <c r="C27" s="33" t="n">
        <f aca="false">SUM(Schedule!G89:H100)</f>
        <v>178348</v>
      </c>
    </row>
    <row r="28" customFormat="false" ht="15" hidden="false" customHeight="true" outlineLevel="0" collapsed="false">
      <c r="A28" s="1" t="s">
        <v>105</v>
      </c>
      <c r="B28" s="33" t="n">
        <f aca="false">SUM(Schedule!F101:F112)</f>
        <v>118790</v>
      </c>
      <c r="C28" s="33" t="n">
        <f aca="false">SUM(Schedule!G101:H112)</f>
        <v>193630</v>
      </c>
    </row>
    <row r="29" customFormat="false" ht="15" hidden="false" customHeight="true" outlineLevel="0" collapsed="false">
      <c r="A29" s="1" t="s">
        <v>106</v>
      </c>
      <c r="B29" s="33" t="n">
        <f aca="false">SUM(Schedule!F113:F124)</f>
        <v>102196</v>
      </c>
      <c r="C29" s="33" t="n">
        <f aca="false">SUM(Schedule!G113:H124)</f>
        <v>210224</v>
      </c>
    </row>
    <row r="30" customFormat="false" ht="15" hidden="false" customHeight="true" outlineLevel="0" collapsed="false">
      <c r="A30" s="1" t="s">
        <v>107</v>
      </c>
      <c r="B30" s="33" t="n">
        <f aca="false">SUM(Schedule!F125:F136)</f>
        <v>84182</v>
      </c>
      <c r="C30" s="33" t="n">
        <f aca="false">SUM(Schedule!G125:H136)</f>
        <v>228238</v>
      </c>
    </row>
    <row r="31" customFormat="false" ht="15" hidden="false" customHeight="true" outlineLevel="0" collapsed="false">
      <c r="A31" s="1" t="s">
        <v>108</v>
      </c>
      <c r="B31" s="33" t="n">
        <f aca="false">SUM(Schedule!F137:F148)</f>
        <v>64625</v>
      </c>
      <c r="C31" s="33" t="n">
        <f aca="false">SUM(Schedule!G137:H148)</f>
        <v>247795</v>
      </c>
    </row>
    <row r="32" customFormat="false" ht="15" hidden="false" customHeight="true" outlineLevel="0" collapsed="false">
      <c r="A32" s="1" t="s">
        <v>109</v>
      </c>
      <c r="B32" s="33" t="n">
        <f aca="false">SUM(Schedule!F149:F160)</f>
        <v>43390</v>
      </c>
      <c r="C32" s="33" t="n">
        <f aca="false">SUM(Schedule!G149:H160)</f>
        <v>269030</v>
      </c>
    </row>
    <row r="33" customFormat="false" ht="15" hidden="false" customHeight="true" outlineLevel="0" collapsed="false">
      <c r="A33" s="1" t="s">
        <v>110</v>
      </c>
      <c r="B33" s="33" t="n">
        <f aca="false">SUM(Schedule!F161:F172)</f>
        <v>20336</v>
      </c>
      <c r="C33" s="33" t="n">
        <f aca="false">SUM(Schedule!G161:H172)</f>
        <v>292084</v>
      </c>
    </row>
    <row r="34" customFormat="false" ht="15" hidden="false" customHeight="true" outlineLevel="0" collapsed="false">
      <c r="A34" s="1" t="s">
        <v>111</v>
      </c>
      <c r="B34" s="33" t="n">
        <f aca="false">SUM(Schedule!F173:F184)</f>
        <v>1318</v>
      </c>
      <c r="C34" s="33" t="n">
        <f aca="false">SUM(Schedule!G173:H184)</f>
        <v>86305</v>
      </c>
    </row>
    <row r="35" customFormat="false" ht="15" hidden="false" customHeight="true" outlineLevel="0" collapsed="false">
      <c r="A35" s="1" t="s">
        <v>112</v>
      </c>
      <c r="B35" s="33" t="n">
        <f aca="false">SUM(Schedule!F185:F196)</f>
        <v>0</v>
      </c>
      <c r="C35" s="33" t="n">
        <f aca="false">SUM(Schedule!G185:H196)</f>
        <v>0</v>
      </c>
    </row>
    <row r="36" customFormat="false" ht="15" hidden="false" customHeight="true" outlineLevel="0" collapsed="false">
      <c r="A36" s="1" t="s">
        <v>113</v>
      </c>
      <c r="B36" s="33" t="n">
        <f aca="false">SUM(Schedule!F197:F208)</f>
        <v>0</v>
      </c>
      <c r="C36" s="33" t="n">
        <f aca="false">SUM(Schedule!G197:H208)</f>
        <v>0</v>
      </c>
    </row>
    <row r="37" customFormat="false" ht="15" hidden="false" customHeight="true" outlineLevel="0" collapsed="false">
      <c r="A37" s="1" t="s">
        <v>114</v>
      </c>
      <c r="B37" s="33" t="n">
        <f aca="false">SUM(Schedule!F209:F220)</f>
        <v>0</v>
      </c>
      <c r="C37" s="33" t="n">
        <f aca="false">SUM(Schedule!G209:H220)</f>
        <v>0</v>
      </c>
    </row>
    <row r="38" customFormat="false" ht="15" hidden="false" customHeight="true" outlineLevel="0" collapsed="false">
      <c r="A38" s="1" t="s">
        <v>115</v>
      </c>
      <c r="B38" s="33" t="n">
        <f aca="false">SUM(Schedule!F221:F232)</f>
        <v>0</v>
      </c>
      <c r="C38" s="33" t="n">
        <f aca="false">SUM(Schedule!G221:H232)</f>
        <v>0</v>
      </c>
    </row>
    <row r="39" customFormat="false" ht="15" hidden="false" customHeight="true" outlineLevel="0" collapsed="false">
      <c r="A39" s="1" t="s">
        <v>116</v>
      </c>
      <c r="B39" s="33" t="n">
        <f aca="false">SUM(Schedule!F233:F244)</f>
        <v>0</v>
      </c>
      <c r="C39" s="33" t="n">
        <f aca="false">SUM(Schedule!G233:H244)</f>
        <v>0</v>
      </c>
    </row>
  </sheetData>
  <conditionalFormatting sqref="B16">
    <cfRule type="cellIs" priority="2" operator="equal" aboveAverage="0" equalAverage="0" bottom="0" percent="0" rank="0" text="" dxfId="3">
      <formula>"OK"</formula>
    </cfRule>
    <cfRule type="cellIs" priority="3" operator="equal" aboveAverage="0" equalAverage="0" bottom="0" percent="0" rank="0" text="" dxfId="4">
      <formula>"CHECK"</formula>
    </cfRule>
  </conditionalFormatting>
  <conditionalFormatting sqref="B17">
    <cfRule type="expression" priority="4" aboveAverage="0" equalAverage="0" bottom="0" percent="0" rank="0" text="" dxfId="1">
      <formula>ROUND(B17,2)&lt;&gt;0</formula>
    </cfRule>
  </conditionalFormatting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&amp;L&amp;8 PB Lab · pblab.in/templates&amp;R&amp;8 Page &amp;P of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65911"/>
    <pageSetUpPr fitToPage="false"/>
  </sheetPr>
  <dimension ref="B2:B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00"/>
  </cols>
  <sheetData>
    <row r="2" customFormat="false" ht="19.7" hidden="false" customHeight="false" outlineLevel="0" collapsed="false">
      <c r="B2" s="37" t="s">
        <v>117</v>
      </c>
    </row>
    <row r="4" customFormat="false" ht="15" hidden="false" customHeight="false" outlineLevel="0" collapsed="false">
      <c r="B4" s="38" t="s">
        <v>118</v>
      </c>
    </row>
    <row r="5" customFormat="false" ht="23.85" hidden="false" customHeight="false" outlineLevel="0" collapsed="false">
      <c r="B5" s="39" t="s">
        <v>119</v>
      </c>
    </row>
    <row r="6" customFormat="false" ht="15" hidden="false" customHeight="false" outlineLevel="0" collapsed="false">
      <c r="B6" s="39" t="s">
        <v>120</v>
      </c>
    </row>
    <row r="7" customFormat="false" ht="15" hidden="false" customHeight="false" outlineLevel="0" collapsed="false">
      <c r="B7" s="39" t="s">
        <v>121</v>
      </c>
    </row>
    <row r="9" customFormat="false" ht="15" hidden="false" customHeight="false" outlineLevel="0" collapsed="false">
      <c r="B9" s="38" t="s">
        <v>122</v>
      </c>
    </row>
    <row r="10" customFormat="false" ht="15" hidden="false" customHeight="false" outlineLevel="0" collapsed="false">
      <c r="B10" s="40" t="s">
        <v>123</v>
      </c>
    </row>
    <row r="12" customFormat="false" ht="15" hidden="false" customHeight="false" outlineLevel="0" collapsed="false">
      <c r="B12" s="41" t="s">
        <v>124</v>
      </c>
    </row>
  </sheetData>
  <hyperlinks>
    <hyperlink ref="B10" r:id="rId1" display="Get it at https://pblab.in/templates/loan-emi-schedule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2026-10-13T16:14:52Z</dcterms:created>
  <dc:creator>PB Lab</dc:creator>
  <dc:description/>
  <cp:keywords>PB Lab pblab.in Excel template India</cp:keywords>
  <dc:language>en-US</dc:language>
  <cp:lastModifiedBy/>
  <dcterms:modified xsi:type="dcterms:W3CDTF">2026-10-13T16:14:57Z</dcterms:modified>
  <cp:revision>2</cp:revision>
  <dc:subject>Month-by-month EMI schedule for home, car, business or personal loans – interest and principal split, rate changes, part-prepayments, and the interest and months you save. Pro adds year-wise interest certificates, current/non-current split and a loan comparison.</dc:subject>
  <dc:title>Loan Amortisation &amp; EMI Schedule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