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Inputs" sheetId="2" state="visible" r:id="rId4"/>
    <sheet name="Ratios" sheetId="3" state="visible" r:id="rId5"/>
    <sheet name="Get Pr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<sst xmlns="http://schemas.openxmlformats.org/spreadsheetml/2006/main" count="179" uniqueCount="174">
  <si>
    <t xml:space="preserve">Ratio Analysis &amp; CMA Data</t>
  </si>
  <si>
    <t xml:space="preserve">Three years of condensed financials in, 20 key ratios with trends out – and in Pro, CMA data with MPBF for your bank loan proposal.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</si>
  <si>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</si>
  <si>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</si>
  <si>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</si>
  <si>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</si>
  <si>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Turns three years of condensed financial statements into 20 key ratios – liquidity, leverage and coverage, profitability, efficiency and growth – with the formula used, the trend (better or worse than last year) and a short note on what each ratio means.</t>
  </si>
  <si>
    <t xml:space="preserve">How to use</t>
  </si>
  <si>
    <t xml:space="preserve">1. Inputs</t>
  </si>
  <si>
    <t xml:space="preserve">Enter the company name, the three financial years (oldest first) and the condensed Profit &amp; Loss and Balance Sheet figures from the audited accounts.</t>
  </si>
  <si>
    <t xml:space="preserve">2. Check</t>
  </si>
  <si>
    <t xml:space="preserve">Make sure the difference row is zero for each year – total assets must equal total equity and liabilities.</t>
  </si>
  <si>
    <t xml:space="preserve">3. Ratios</t>
  </si>
  <si>
    <t xml:space="preserve">Read the ratios and trends. Use the 'What it tells you' column when writing your analysis or a bank note.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</si>
  <si>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</si>
  <si>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</si>
  <si>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</si>
  <si>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</si>
  <si>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</si>
  <si>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</si>
  <si>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</si>
  <si>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</si>
  <si>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</si>
  <si>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</si>
  <si>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Definitions</t>
  </si>
  <si>
    <t xml:space="preserve">Ratios follow common banking practice. Your lender may define some (e.g. TOL/TNW, DSCR) slightly differently – match their format if asked.</t>
  </si>
  <si>
    <t xml:space="preserve">Averages</t>
  </si>
  <si>
    <t xml:space="preserve">ROE uses average net worth where the previous year is available. Days ratios use the days-in-year input.</t>
  </si>
  <si>
    <t xml:space="preserve">Assumptions in the sample data</t>
  </si>
  <si>
    <t xml:space="preserve">A Raipur plastics manufacturer growing 15% a year with steady term-loan repayment.</t>
  </si>
  <si>
    <t xml:space="preserve">Pro edition includes</t>
  </si>
  <si>
    <t xml:space="preserve">✔</t>
  </si>
  <si>
    <t xml:space="preserve">CMA Data – operating statement (Form II), working capital assessment (Forms IV/V) and MPBF by Tandon method II, with a projected year driven by your growth and holding-period assumptions</t>
  </si>
  <si>
    <t xml:space="preserve">Loan proposal check – shows whether the bank borrowing you request is within MPBF, plus projected current ratio and margin</t>
  </si>
  <si>
    <t xml:space="preserve">Charts – revenue, EBITDA and PAT bars and a current ratio / debt-equity trend, ready to paste into a board or bank note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</si>
  <si>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</si>
  <si>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</si>
  <si>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</si>
  <si>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</si>
  <si>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</si>
  <si>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</si>
  <si>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</si>
  <si>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</si>
  <si>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</si>
  <si>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</si>
  <si>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</si>
  <si>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</si>
  <si>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Condensed financial statements – 3 years</t>
  </si>
  <si>
    <t xml:space="preserve">PB Lab · pblab.in/templates</t>
  </si>
  <si>
    <t xml:space="preserve">Enter audited figures in ₹ (yellow cells). Oldest year first.</t>
  </si>
  <si>
    <t xml:space="preserve">Company</t>
  </si>
  <si>
    <t xml:space="preserve">Raipur Polymers Private Limited</t>
  </si>
  <si>
    <t xml:space="preserve">Particulars (₹)</t>
  </si>
  <si>
    <t xml:space="preserve">FY 2023-24</t>
  </si>
  <si>
    <t xml:space="preserve">FY 2024-25</t>
  </si>
  <si>
    <t xml:space="preserve">FY 2025-26</t>
  </si>
  <si>
    <t xml:space="preserve">Profit &amp; Loss</t>
  </si>
  <si>
    <t xml:space="preserve">Revenue from operations (net of GST)</t>
  </si>
  <si>
    <t xml:space="preserve">Other income</t>
  </si>
  <si>
    <t xml:space="preserve">Cost of materials consumed / purchases</t>
  </si>
  <si>
    <t xml:space="preserve">Change in inventories (increase = negative)</t>
  </si>
  <si>
    <t xml:space="preserve">Employee benefits expense</t>
  </si>
  <si>
    <t xml:space="preserve">Other expenses</t>
  </si>
  <si>
    <t xml:space="preserve">Depreciation and amortisation</t>
  </si>
  <si>
    <t xml:space="preserve">Finance costs</t>
  </si>
  <si>
    <t xml:space="preserve">Tax expense (current + deferred)</t>
  </si>
  <si>
    <t xml:space="preserve">Profit after tax</t>
  </si>
  <si>
    <t xml:space="preserve">EBITDA (before other income)</t>
  </si>
  <si>
    <t xml:space="preserve">Balance Sheet – equity and liabilities</t>
  </si>
  <si>
    <t xml:space="preserve">Share capital</t>
  </si>
  <si>
    <t xml:space="preserve">Reserves and surplus</t>
  </si>
  <si>
    <t xml:space="preserve">Long-term borrowings (term loans)</t>
  </si>
  <si>
    <t xml:space="preserve">Current maturities of long-term debt</t>
  </si>
  <si>
    <t xml:space="preserve">Principal repayable in the next 12 months</t>
  </si>
  <si>
    <t xml:space="preserve">Short-term borrowings (bank CC / OD)</t>
  </si>
  <si>
    <t xml:space="preserve">Trade payables</t>
  </si>
  <si>
    <t xml:space="preserve">Other current liabilities and provisions</t>
  </si>
  <si>
    <t xml:space="preserve">Total equity and liabilities</t>
  </si>
  <si>
    <t xml:space="preserve">Balance Sheet – assets</t>
  </si>
  <si>
    <t xml:space="preserve">Property, plant &amp; equipment and intangibles (net)</t>
  </si>
  <si>
    <t xml:space="preserve">Non-current investments</t>
  </si>
  <si>
    <t xml:space="preserve">Inventories</t>
  </si>
  <si>
    <t xml:space="preserve">Trade receivables</t>
  </si>
  <si>
    <t xml:space="preserve">Cash and bank balances</t>
  </si>
  <si>
    <t xml:space="preserve">Other current assets (advances, deposits)</t>
  </si>
  <si>
    <t xml:space="preserve">Total assets</t>
  </si>
  <si>
    <t xml:space="preserve">Difference (must be zero)</t>
  </si>
  <si>
    <t xml:space="preserve">Other information</t>
  </si>
  <si>
    <t xml:space="preserve">Principal repaid on term loans during the year</t>
  </si>
  <si>
    <t xml:space="preserve">For DSCR</t>
  </si>
  <si>
    <t xml:space="preserve">Days in year</t>
  </si>
  <si>
    <t xml:space="preserve">Ratio analysis</t>
  </si>
  <si>
    <t xml:space="preserve">Ratio</t>
  </si>
  <si>
    <t xml:space="preserve">Formula</t>
  </si>
  <si>
    <t xml:space="preserve">Trend</t>
  </si>
  <si>
    <t xml:space="preserve">What it tells you</t>
  </si>
  <si>
    <t xml:space="preserve">Liquidity</t>
  </si>
  <si>
    <t xml:space="preserve">Current ratio</t>
  </si>
  <si>
    <t xml:space="preserve">Current assets ÷ current liabilities</t>
  </si>
  <si>
    <t xml:space="preserve">Ability to meet short-term obligations. Banks usually look for 1.33 or more.</t>
  </si>
  <si>
    <t xml:space="preserve">Quick ratio</t>
  </si>
  <si>
    <t xml:space="preserve">(Current assets − inventories) ÷ current liabilities</t>
  </si>
  <si>
    <t xml:space="preserve">Liquidity without relying on selling stock.</t>
  </si>
  <si>
    <t xml:space="preserve">Cash ratio</t>
  </si>
  <si>
    <t xml:space="preserve">Cash and bank ÷ current liabilities</t>
  </si>
  <si>
    <t xml:space="preserve">Immediate liquidity.</t>
  </si>
  <si>
    <t xml:space="preserve">Leverage and coverage</t>
  </si>
  <si>
    <t xml:space="preserve">Debt-equity ratio</t>
  </si>
  <si>
    <t xml:space="preserve">Total borrowings ÷ net worth</t>
  </si>
  <si>
    <t xml:space="preserve">Lower means less reliance on borrowed money.</t>
  </si>
  <si>
    <t xml:space="preserve">TOL / TNW</t>
  </si>
  <si>
    <t xml:space="preserve">Total outside liabilities ÷ tangible net worth</t>
  </si>
  <si>
    <t xml:space="preserve">Banks commonly expect TOL/TNW below 3.</t>
  </si>
  <si>
    <t xml:space="preserve">Interest coverage ratio</t>
  </si>
  <si>
    <t xml:space="preserve">EBIT ÷ finance costs</t>
  </si>
  <si>
    <t xml:space="preserve">How many times profit covers interest.</t>
  </si>
  <si>
    <t xml:space="preserve">Debt service coverage ratio</t>
  </si>
  <si>
    <t xml:space="preserve">(PAT + depreciation + interest) ÷ (interest + principal repaid)</t>
  </si>
  <si>
    <t xml:space="preserve">Cash available to service loans. Lenders typically want 1.25 or more.</t>
  </si>
  <si>
    <t xml:space="preserve">Profitability</t>
  </si>
  <si>
    <t xml:space="preserve">Gross profit margin</t>
  </si>
  <si>
    <t xml:space="preserve">(Revenue − materials − change in inventories) ÷ revenue</t>
  </si>
  <si>
    <t xml:space="preserve">Pricing power and material efficiency.</t>
  </si>
  <si>
    <t xml:space="preserve">EBITDA margin</t>
  </si>
  <si>
    <t xml:space="preserve">EBITDA ÷ revenue</t>
  </si>
  <si>
    <t xml:space="preserve">Operating profitability before depreciation and interest.</t>
  </si>
  <si>
    <t xml:space="preserve">Net profit margin</t>
  </si>
  <si>
    <t xml:space="preserve">PAT ÷ revenue</t>
  </si>
  <si>
    <t xml:space="preserve">Profit kept from every rupee of sales.</t>
  </si>
  <si>
    <t xml:space="preserve">Return on equity</t>
  </si>
  <si>
    <t xml:space="preserve">PAT ÷ average net worth</t>
  </si>
  <si>
    <t xml:space="preserve">Return earned for shareholders.</t>
  </si>
  <si>
    <t xml:space="preserve">Return on capital employed</t>
  </si>
  <si>
    <t xml:space="preserve">EBIT ÷ capital employed (net worth + long-term debt)</t>
  </si>
  <si>
    <t xml:space="preserve">Return on all long-term funds.</t>
  </si>
  <si>
    <t xml:space="preserve">Efficiency</t>
  </si>
  <si>
    <t xml:space="preserve">Inventory holding (days)</t>
  </si>
  <si>
    <t xml:space="preserve">Inventories ÷ cost of materials × days</t>
  </si>
  <si>
    <t xml:space="preserve">Days of stock held. Fewer days frees cash.</t>
  </si>
  <si>
    <t xml:space="preserve">Debtors collection (days)</t>
  </si>
  <si>
    <t xml:space="preserve">Trade receivables ÷ revenue × days</t>
  </si>
  <si>
    <t xml:space="preserve">How quickly customers pay.</t>
  </si>
  <si>
    <t xml:space="preserve">Creditors payment (days)</t>
  </si>
  <si>
    <t xml:space="preserve">Trade payables ÷ purchases × days</t>
  </si>
  <si>
    <t xml:space="preserve">How long you take to pay suppliers. Keep MSME dues within 45 days.</t>
  </si>
  <si>
    <t xml:space="preserve">Cash conversion cycle (days)</t>
  </si>
  <si>
    <t xml:space="preserve">Inventory days + debtor days − creditor days</t>
  </si>
  <si>
    <t xml:space="preserve">Days of working capital tied up.</t>
  </si>
  <si>
    <t xml:space="preserve">Fixed asset turnover</t>
  </si>
  <si>
    <t xml:space="preserve">Revenue ÷ net fixed assets</t>
  </si>
  <si>
    <t xml:space="preserve">Sales generated per rupee of fixed assets.</t>
  </si>
  <si>
    <t xml:space="preserve">Total asset turnover</t>
  </si>
  <si>
    <t xml:space="preserve">Revenue ÷ total assets</t>
  </si>
  <si>
    <t xml:space="preserve">Sales generated per rupee of assets.</t>
  </si>
  <si>
    <t xml:space="preserve">Working capital turnover</t>
  </si>
  <si>
    <t xml:space="preserve">Revenue ÷ (current assets − current liabilities)</t>
  </si>
  <si>
    <t xml:space="preserve">Sales supported by net working capital.</t>
  </si>
  <si>
    <t xml:space="preserve">Growth</t>
  </si>
  <si>
    <t xml:space="preserve">Revenue growth</t>
  </si>
  <si>
    <t xml:space="preserve">Change in revenue over the previous year</t>
  </si>
  <si>
    <t xml:space="preserve">Top-line growth.</t>
  </si>
  <si>
    <t xml:space="preserve">PAT growth</t>
  </si>
  <si>
    <t xml:space="preserve">Change in PAT over the previous year</t>
  </si>
  <si>
    <t xml:space="preserve">Bottom-line growth.</t>
  </si>
  <si>
    <t xml:space="preserve">Check – balance sheets tally (all three years)</t>
  </si>
  <si>
    <t xml:space="preserve">Upgrade to Ratio Analysis &amp; CMA Data – Pro</t>
  </si>
  <si>
    <t xml:space="preserve">The Pro edition adds:</t>
  </si>
  <si>
    <t xml:space="preserve">✔  CMA Data – operating statement (Form II), working capital assessment (Forms IV/V) and MPBF by Tandon method II, with a projected year driven by your growth and holding-period assumptions</t>
  </si>
  <si>
    <t xml:space="preserve">✔  Loan proposal check – shows whether the bank borrowing you request is within MPBF, plus projected current ratio and margin</t>
  </si>
  <si>
    <t xml:space="preserve">✔  Charts – revenue, EBITDA and PAT bars and a current ratio / debt-equity trend, ready to paste into a board or bank note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</si>
  <si>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</si>
  <si>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</si>
  <si>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https://pblab.in/templates/ratio-analysis-cma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</si>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</sst>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\(#,##0.00\);\-"/>
    <numFmt numFmtId="166" formatCode="#,##0;\(#,##0\);\-"/>
    <numFmt numFmtId="167" formatCode="0.00\x;\(0.00&quot;x)&quot;;\-"/>
    <numFmt numFmtId="168" formatCode="0.0%;\(0.0%\);\-"/>
    <numFmt numFmtId="169" formatCode="0&quot; d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1F3864"/>
        <bgColor rgb="FF333333"/>
      </patternFill>
    </fill>
    <fill>
      <patternFill patternType="solid">
        <fgColor rgb="FFD9E1F2"/>
        <bgColor rgb="FFC6EFCE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80808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FFC7CE"/>
        </patternFill>
      </fill>
    </dxf>
    <dxf>
      <font>
        <name val="Arial"/>
        <charset val="1"/>
        <family val="0"/>
        <b val="1"/>
        <color rgb="FF006100"/>
      </font>
    </dxf>
    <dxf>
      <font>
        <name val="Arial"/>
        <charset val="1"/>
        <family val="0"/>
        <b val="1"/>
        <color rgb="FF9C0006"/>
      </font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CE4D6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70AD47"/>
      <rgbColor rgb="FF1F3864"/>
      <rgbColor rgb="FF339966"/>
      <rgbColor rgb="FF0061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pblab.in/templates/ratio-analysis-cma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IF(Ratios!E32="OK","✔ Balance sheets tally – ratios are ready","✘ Balance sheet does not tally – check Inputs")</f>
        <v>✔ Balance sheets tally – ratios are ready</v>
      </c>
    </row>
    <row r="7" customFormat="false" ht="15" hidden="false" customHeight="true" outlineLevel="0" collapsed="false">
      <c r="B7" s="7" t="s">
        <v>5</v>
      </c>
    </row>
    <row r="8" customFormat="false" ht="42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27.7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5" customFormat="false" ht="15" hidden="false" customHeight="true" outlineLevel="0" collapsed="false">
      <c r="B15" s="7" t="s">
        <v>14</v>
      </c>
    </row>
    <row r="16" customFormat="false" ht="15" hidden="false" customHeight="true" outlineLevel="0" collapsed="false">
      <c r="B16" s="10" t="s">
        <v>15</v>
      </c>
      <c r="C16" s="8" t="s">
        <v>16</v>
      </c>
    </row>
    <row r="17" customFormat="false" ht="15" hidden="false" customHeight="true" outlineLevel="0" collapsed="false">
      <c r="B17" s="9" t="s">
        <v>17</v>
      </c>
      <c r="C17" s="8" t="s">
        <v>18</v>
      </c>
    </row>
    <row r="18" customFormat="false" ht="15" hidden="false" customHeight="true" outlineLevel="0" collapsed="false">
      <c r="B18" s="11" t="s">
        <v>19</v>
      </c>
      <c r="C18" s="8" t="s">
        <v>20</v>
      </c>
    </row>
    <row r="19" customFormat="false" ht="15" hidden="false" customHeight="true" outlineLevel="0" collapsed="false">
      <c r="B19" s="12" t="s">
        <v>21</v>
      </c>
      <c r="C19" s="8" t="s">
        <v>22</v>
      </c>
    </row>
    <row r="21" customFormat="false" ht="15" hidden="false" customHeight="true" outlineLevel="0" collapsed="false">
      <c r="B21" s="7" t="s">
        <v>23</v>
      </c>
    </row>
    <row r="22" customFormat="false" ht="27.75" hidden="false" customHeight="true" outlineLevel="0" collapsed="false">
      <c r="B22" s="9" t="s">
        <v>24</v>
      </c>
      <c r="C22" s="8" t="s">
        <v>25</v>
      </c>
    </row>
    <row r="23" customFormat="false" ht="27.75" hidden="false" customHeight="true" outlineLevel="0" collapsed="false">
      <c r="B23" s="9" t="s">
        <v>26</v>
      </c>
      <c r="C23" s="8" t="s">
        <v>27</v>
      </c>
    </row>
    <row r="25" customFormat="false" ht="15" hidden="false" customHeight="true" outlineLevel="0" collapsed="false">
      <c r="B25" s="7" t="s">
        <v>28</v>
      </c>
    </row>
    <row r="26" customFormat="false" ht="15" hidden="false" customHeight="true" outlineLevel="0" collapsed="false">
      <c r="B26" s="8"/>
      <c r="C26" s="8" t="s">
        <v>29</v>
      </c>
    </row>
    <row r="28" customFormat="false" ht="15" hidden="false" customHeight="true" outlineLevel="0" collapsed="false">
      <c r="B28" s="7" t="s">
        <v>30</v>
      </c>
    </row>
    <row r="29" customFormat="false" ht="27.75" hidden="false" customHeight="true" outlineLevel="0" collapsed="false">
      <c r="B29" s="9" t="s">
        <v>31</v>
      </c>
      <c r="C29" s="8" t="s">
        <v>32</v>
      </c>
    </row>
    <row r="30" customFormat="false" ht="27.75" hidden="false" customHeight="true" outlineLevel="0" collapsed="false">
      <c r="B30" s="9" t="s">
        <v>31</v>
      </c>
      <c r="C30" s="8" t="s">
        <v>33</v>
      </c>
    </row>
    <row r="31" customFormat="false" ht="27.75" hidden="false" customHeight="true" outlineLevel="0" collapsed="false">
      <c r="B31" s="9" t="s">
        <v>31</v>
      </c>
      <c r="C31" s="8" t="s">
        <v>34</v>
      </c>
    </row>
    <row r="32" customFormat="false" ht="15" hidden="false" customHeight="true" outlineLevel="0" collapsed="false">
      <c r="B32" s="9" t="s">
        <v>31</v>
      </c>
      <c r="C32" s="8" t="s">
        <v>35</v>
      </c>
    </row>
    <row r="34" customFormat="false" ht="15" hidden="false" customHeight="true" outlineLevel="0" collapsed="false">
      <c r="B34" s="7" t="s">
        <v>36</v>
      </c>
    </row>
    <row r="35" customFormat="false" ht="15" hidden="false" customHeight="true" outlineLevel="0" collapsed="false">
      <c r="B35" s="9" t="s">
        <v>37</v>
      </c>
      <c r="C35" s="8" t="s">
        <v>38</v>
      </c>
    </row>
    <row r="36" customFormat="false" ht="15" hidden="false" customHeight="true" outlineLevel="0" collapsed="false">
      <c r="B36" s="9" t="s">
        <v>39</v>
      </c>
      <c r="C36" s="8" t="s">
        <v>40</v>
      </c>
    </row>
    <row r="37" customFormat="false" ht="15" hidden="false" customHeight="true" outlineLevel="0" collapsed="false">
      <c r="B37" s="9" t="s">
        <v>41</v>
      </c>
      <c r="C37" s="8" t="s">
        <v>42</v>
      </c>
    </row>
    <row r="38" customFormat="false" ht="27.75" hidden="false" customHeight="true" outlineLevel="0" collapsed="false">
      <c r="B38" s="9" t="s">
        <v>43</v>
      </c>
      <c r="C38" s="8" t="s">
        <v>44</v>
      </c>
    </row>
    <row r="39" customFormat="false" ht="27.75" hidden="false" customHeight="true" outlineLevel="0" collapsed="false">
      <c r="B39" s="9" t="s">
        <v>45</v>
      </c>
      <c r="C39" s="8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4" min="2" style="1" width="15"/>
    <col collapsed="false" customWidth="true" hidden="false" outlineLevel="0" max="5" min="5" style="1" width="3"/>
    <col collapsed="false" customWidth="true" hidden="false" outlineLevel="0" max="6" min="6" style="1" width="40"/>
  </cols>
  <sheetData>
    <row r="1" customFormat="false" ht="21.75" hidden="false" customHeight="true" outlineLevel="0" collapsed="false">
      <c r="A1" s="13" t="s">
        <v>47</v>
      </c>
      <c r="F1" s="14" t="s">
        <v>48</v>
      </c>
    </row>
    <row r="2" customFormat="false" ht="15" hidden="false" customHeight="true" outlineLevel="0" collapsed="false">
      <c r="A2" s="3" t="s">
        <v>49</v>
      </c>
    </row>
    <row r="3" customFormat="false" ht="15" hidden="false" customHeight="true" outlineLevel="0" collapsed="false">
      <c r="A3" s="4" t="s">
        <v>50</v>
      </c>
      <c r="B3" s="15" t="s">
        <v>51</v>
      </c>
      <c r="C3" s="15"/>
      <c r="D3" s="15"/>
    </row>
    <row r="5" customFormat="false" ht="24" hidden="false" customHeight="true" outlineLevel="0" collapsed="false">
      <c r="A5" s="16" t="s">
        <v>52</v>
      </c>
      <c r="B5" s="17" t="s">
        <v>53</v>
      </c>
      <c r="C5" s="17" t="s">
        <v>54</v>
      </c>
      <c r="D5" s="17" t="s">
        <v>55</v>
      </c>
      <c r="E5" s="18"/>
      <c r="F5" s="18" t="s">
        <v>23</v>
      </c>
    </row>
    <row r="6" customFormat="false" ht="15" hidden="false" customHeight="true" outlineLevel="0" collapsed="false">
      <c r="A6" s="19" t="s">
        <v>56</v>
      </c>
      <c r="B6" s="20"/>
      <c r="C6" s="20"/>
      <c r="D6" s="20"/>
    </row>
    <row r="7" customFormat="false" ht="15" hidden="false" customHeight="true" outlineLevel="0" collapsed="false">
      <c r="A7" s="21" t="s">
        <v>57</v>
      </c>
      <c r="B7" s="22" t="n">
        <v>84000000</v>
      </c>
      <c r="C7" s="22" t="n">
        <v>96500000</v>
      </c>
      <c r="D7" s="22" t="n">
        <v>112000000</v>
      </c>
    </row>
    <row r="8" customFormat="false" ht="15" hidden="false" customHeight="true" outlineLevel="0" collapsed="false">
      <c r="A8" s="21" t="s">
        <v>58</v>
      </c>
      <c r="B8" s="22" t="n">
        <v>450000</v>
      </c>
      <c r="C8" s="22" t="n">
        <v>620000</v>
      </c>
      <c r="D8" s="22" t="n">
        <v>780000</v>
      </c>
    </row>
    <row r="9" customFormat="false" ht="15" hidden="false" customHeight="true" outlineLevel="0" collapsed="false">
      <c r="A9" s="21" t="s">
        <v>59</v>
      </c>
      <c r="B9" s="22" t="n">
        <v>52500000</v>
      </c>
      <c r="C9" s="22" t="n">
        <v>59800000</v>
      </c>
      <c r="D9" s="22" t="n">
        <v>68900000</v>
      </c>
    </row>
    <row r="10" customFormat="false" ht="15" hidden="false" customHeight="true" outlineLevel="0" collapsed="false">
      <c r="A10" s="21" t="s">
        <v>60</v>
      </c>
      <c r="B10" s="22" t="n">
        <v>-800000</v>
      </c>
      <c r="C10" s="22" t="n">
        <v>-1100000</v>
      </c>
      <c r="D10" s="22" t="n">
        <v>-1500000</v>
      </c>
    </row>
    <row r="11" customFormat="false" ht="15" hidden="false" customHeight="true" outlineLevel="0" collapsed="false">
      <c r="A11" s="21" t="s">
        <v>61</v>
      </c>
      <c r="B11" s="22" t="n">
        <v>8100000</v>
      </c>
      <c r="C11" s="22" t="n">
        <v>9200000</v>
      </c>
      <c r="D11" s="22" t="n">
        <v>10600000</v>
      </c>
    </row>
    <row r="12" customFormat="false" ht="15" hidden="false" customHeight="true" outlineLevel="0" collapsed="false">
      <c r="A12" s="21" t="s">
        <v>62</v>
      </c>
      <c r="B12" s="22" t="n">
        <v>9800000</v>
      </c>
      <c r="C12" s="22" t="n">
        <v>11000000</v>
      </c>
      <c r="D12" s="22" t="n">
        <v>12500000</v>
      </c>
    </row>
    <row r="13" customFormat="false" ht="15" hidden="false" customHeight="true" outlineLevel="0" collapsed="false">
      <c r="A13" s="21" t="s">
        <v>63</v>
      </c>
      <c r="B13" s="22" t="n">
        <v>2100000</v>
      </c>
      <c r="C13" s="22" t="n">
        <v>2450000</v>
      </c>
      <c r="D13" s="22" t="n">
        <v>2900000</v>
      </c>
    </row>
    <row r="14" customFormat="false" ht="15" hidden="false" customHeight="true" outlineLevel="0" collapsed="false">
      <c r="A14" s="21" t="s">
        <v>64</v>
      </c>
      <c r="B14" s="22" t="n">
        <v>2350000</v>
      </c>
      <c r="C14" s="22" t="n">
        <v>2600000</v>
      </c>
      <c r="D14" s="22" t="n">
        <v>2750000</v>
      </c>
    </row>
    <row r="15" customFormat="false" ht="15" hidden="false" customHeight="true" outlineLevel="0" collapsed="false">
      <c r="A15" s="21" t="s">
        <v>65</v>
      </c>
      <c r="B15" s="22" t="n">
        <v>2400000</v>
      </c>
      <c r="C15" s="22" t="n">
        <v>3500000</v>
      </c>
      <c r="D15" s="22" t="n">
        <v>4900000</v>
      </c>
    </row>
    <row r="16" customFormat="false" ht="15" hidden="false" customHeight="true" outlineLevel="0" collapsed="false">
      <c r="A16" s="4" t="s">
        <v>66</v>
      </c>
      <c r="B16" s="23" t="n">
        <f aca="false">B7+B8-B9-B10-B11-B12-B13-B14-B15</f>
        <v>8000000</v>
      </c>
      <c r="C16" s="23" t="n">
        <f aca="false">C7+C8-C9-C10-C11-C12-C13-C14-C15</f>
        <v>9670000</v>
      </c>
      <c r="D16" s="23" t="n">
        <f aca="false">D7+D8-D9-D10-D11-D12-D13-D14-D15</f>
        <v>11730000</v>
      </c>
    </row>
    <row r="17" customFormat="false" ht="15" hidden="false" customHeight="true" outlineLevel="0" collapsed="false">
      <c r="A17" s="21" t="s">
        <v>67</v>
      </c>
      <c r="B17" s="24" t="n">
        <f aca="false">B7-B9-B10-B11-B12</f>
        <v>14400000</v>
      </c>
      <c r="C17" s="24" t="n">
        <f aca="false">C7-C9-C10-C11-C12</f>
        <v>17600000</v>
      </c>
      <c r="D17" s="24" t="n">
        <f aca="false">D7-D9-D10-D11-D12</f>
        <v>21500000</v>
      </c>
    </row>
    <row r="19" customFormat="false" ht="15" hidden="false" customHeight="true" outlineLevel="0" collapsed="false">
      <c r="A19" s="19" t="s">
        <v>68</v>
      </c>
      <c r="B19" s="20"/>
      <c r="C19" s="20"/>
      <c r="D19" s="20"/>
    </row>
    <row r="20" customFormat="false" ht="15" hidden="false" customHeight="true" outlineLevel="0" collapsed="false">
      <c r="A20" s="21" t="s">
        <v>69</v>
      </c>
      <c r="B20" s="22" t="n">
        <v>10000000</v>
      </c>
      <c r="C20" s="22" t="n">
        <v>10000000</v>
      </c>
      <c r="D20" s="22" t="n">
        <v>10000000</v>
      </c>
    </row>
    <row r="21" customFormat="false" ht="15" hidden="false" customHeight="true" outlineLevel="0" collapsed="false">
      <c r="A21" s="21" t="s">
        <v>70</v>
      </c>
      <c r="B21" s="22" t="n">
        <v>12650000</v>
      </c>
      <c r="C21" s="22" t="n">
        <v>17150000</v>
      </c>
      <c r="D21" s="22" t="n">
        <v>23100000</v>
      </c>
    </row>
    <row r="22" customFormat="false" ht="15" hidden="false" customHeight="true" outlineLevel="0" collapsed="false">
      <c r="A22" s="21" t="s">
        <v>71</v>
      </c>
      <c r="B22" s="22" t="n">
        <v>14000000</v>
      </c>
      <c r="C22" s="22" t="n">
        <v>12000000</v>
      </c>
      <c r="D22" s="22" t="n">
        <v>10500000</v>
      </c>
    </row>
    <row r="23" customFormat="false" ht="15" hidden="false" customHeight="true" outlineLevel="0" collapsed="false">
      <c r="A23" s="21" t="s">
        <v>72</v>
      </c>
      <c r="B23" s="22" t="n">
        <v>2000000</v>
      </c>
      <c r="C23" s="22" t="n">
        <v>2000000</v>
      </c>
      <c r="D23" s="22" t="n">
        <v>2000000</v>
      </c>
      <c r="F23" s="3" t="s">
        <v>73</v>
      </c>
    </row>
    <row r="24" customFormat="false" ht="15" hidden="false" customHeight="true" outlineLevel="0" collapsed="false">
      <c r="A24" s="21" t="s">
        <v>74</v>
      </c>
      <c r="B24" s="22" t="n">
        <v>9500000</v>
      </c>
      <c r="C24" s="22" t="n">
        <v>10800000</v>
      </c>
      <c r="D24" s="22" t="n">
        <v>11800000</v>
      </c>
    </row>
    <row r="25" customFormat="false" ht="15" hidden="false" customHeight="true" outlineLevel="0" collapsed="false">
      <c r="A25" s="21" t="s">
        <v>75</v>
      </c>
      <c r="B25" s="22" t="n">
        <v>7200000</v>
      </c>
      <c r="C25" s="22" t="n">
        <v>8100000</v>
      </c>
      <c r="D25" s="22" t="n">
        <v>9300000</v>
      </c>
    </row>
    <row r="26" customFormat="false" ht="15" hidden="false" customHeight="true" outlineLevel="0" collapsed="false">
      <c r="A26" s="21" t="s">
        <v>76</v>
      </c>
      <c r="B26" s="22" t="n">
        <v>2300000</v>
      </c>
      <c r="C26" s="22" t="n">
        <v>2650000</v>
      </c>
      <c r="D26" s="22" t="n">
        <v>3100000</v>
      </c>
    </row>
    <row r="27" customFormat="false" ht="15" hidden="false" customHeight="true" outlineLevel="0" collapsed="false">
      <c r="A27" s="4" t="s">
        <v>77</v>
      </c>
      <c r="B27" s="23" t="n">
        <f aca="false">SUM(B20:B26)</f>
        <v>57650000</v>
      </c>
      <c r="C27" s="23" t="n">
        <f aca="false">SUM(C20:C26)</f>
        <v>62700000</v>
      </c>
      <c r="D27" s="23" t="n">
        <f aca="false">SUM(D20:D26)</f>
        <v>69800000</v>
      </c>
    </row>
    <row r="29" customFormat="false" ht="15" hidden="false" customHeight="true" outlineLevel="0" collapsed="false">
      <c r="A29" s="19" t="s">
        <v>78</v>
      </c>
      <c r="B29" s="20"/>
      <c r="C29" s="20"/>
      <c r="D29" s="20"/>
    </row>
    <row r="30" customFormat="false" ht="15" hidden="false" customHeight="true" outlineLevel="0" collapsed="false">
      <c r="A30" s="21" t="s">
        <v>79</v>
      </c>
      <c r="B30" s="22" t="n">
        <v>24800000</v>
      </c>
      <c r="C30" s="22" t="n">
        <v>26350000</v>
      </c>
      <c r="D30" s="22" t="n">
        <v>28650000</v>
      </c>
    </row>
    <row r="31" customFormat="false" ht="15" hidden="false" customHeight="true" outlineLevel="0" collapsed="false">
      <c r="A31" s="21" t="s">
        <v>80</v>
      </c>
      <c r="B31" s="22" t="n">
        <v>1500000</v>
      </c>
      <c r="C31" s="22" t="n">
        <v>1500000</v>
      </c>
      <c r="D31" s="22" t="n">
        <v>2000000</v>
      </c>
    </row>
    <row r="32" customFormat="false" ht="15" hidden="false" customHeight="true" outlineLevel="0" collapsed="false">
      <c r="A32" s="21" t="s">
        <v>81</v>
      </c>
      <c r="B32" s="22" t="n">
        <v>11500000</v>
      </c>
      <c r="C32" s="22" t="n">
        <v>12600000</v>
      </c>
      <c r="D32" s="22" t="n">
        <v>14100000</v>
      </c>
    </row>
    <row r="33" customFormat="false" ht="15" hidden="false" customHeight="true" outlineLevel="0" collapsed="false">
      <c r="A33" s="21" t="s">
        <v>82</v>
      </c>
      <c r="B33" s="22" t="n">
        <v>14200000</v>
      </c>
      <c r="C33" s="22" t="n">
        <v>15900000</v>
      </c>
      <c r="D33" s="22" t="n">
        <v>17600000</v>
      </c>
    </row>
    <row r="34" customFormat="false" ht="15" hidden="false" customHeight="true" outlineLevel="0" collapsed="false">
      <c r="A34" s="21" t="s">
        <v>83</v>
      </c>
      <c r="B34" s="22" t="n">
        <v>1650000</v>
      </c>
      <c r="C34" s="22" t="n">
        <v>1650000</v>
      </c>
      <c r="D34" s="22" t="n">
        <v>1550000</v>
      </c>
    </row>
    <row r="35" customFormat="false" ht="15" hidden="false" customHeight="true" outlineLevel="0" collapsed="false">
      <c r="A35" s="21" t="s">
        <v>84</v>
      </c>
      <c r="B35" s="22" t="n">
        <v>4000000</v>
      </c>
      <c r="C35" s="22" t="n">
        <v>4700000</v>
      </c>
      <c r="D35" s="22" t="n">
        <v>5900000</v>
      </c>
    </row>
    <row r="36" customFormat="false" ht="15" hidden="false" customHeight="true" outlineLevel="0" collapsed="false">
      <c r="A36" s="4" t="s">
        <v>85</v>
      </c>
      <c r="B36" s="23" t="n">
        <f aca="false">SUM(B30:B35)</f>
        <v>57650000</v>
      </c>
      <c r="C36" s="23" t="n">
        <f aca="false">SUM(C30:C35)</f>
        <v>62700000</v>
      </c>
      <c r="D36" s="23" t="n">
        <f aca="false">SUM(D30:D35)</f>
        <v>69800000</v>
      </c>
    </row>
    <row r="37" customFormat="false" ht="15" hidden="false" customHeight="true" outlineLevel="0" collapsed="false">
      <c r="A37" s="21" t="s">
        <v>86</v>
      </c>
      <c r="B37" s="24" t="n">
        <f aca="false">ROUND(B27-B36,0)</f>
        <v>0</v>
      </c>
      <c r="C37" s="24" t="n">
        <f aca="false">ROUND(C27-C36,0)</f>
        <v>0</v>
      </c>
      <c r="D37" s="24" t="n">
        <f aca="false">ROUND(D27-D36,0)</f>
        <v>0</v>
      </c>
    </row>
    <row r="39" customFormat="false" ht="15" hidden="false" customHeight="true" outlineLevel="0" collapsed="false">
      <c r="A39" s="19" t="s">
        <v>87</v>
      </c>
      <c r="B39" s="20"/>
      <c r="C39" s="20"/>
      <c r="D39" s="20"/>
    </row>
    <row r="40" customFormat="false" ht="15" hidden="false" customHeight="true" outlineLevel="0" collapsed="false">
      <c r="A40" s="21" t="s">
        <v>88</v>
      </c>
      <c r="B40" s="22" t="n">
        <v>2000000</v>
      </c>
      <c r="C40" s="22" t="n">
        <v>2000000</v>
      </c>
      <c r="D40" s="22" t="n">
        <v>2000000</v>
      </c>
      <c r="F40" s="3" t="s">
        <v>89</v>
      </c>
    </row>
    <row r="41" customFormat="false" ht="15" hidden="false" customHeight="true" outlineLevel="0" collapsed="false">
      <c r="A41" s="21" t="s">
        <v>90</v>
      </c>
      <c r="B41" s="25" t="n">
        <v>366</v>
      </c>
      <c r="C41" s="25" t="n">
        <v>365</v>
      </c>
      <c r="D41" s="25" t="n">
        <v>365</v>
      </c>
    </row>
  </sheetData>
  <mergeCells count="1">
    <mergeCell ref="B3:D3"/>
  </mergeCells>
  <conditionalFormatting sqref="B37:D37">
    <cfRule type="expression" priority="2" aboveAverage="0" equalAverage="0" bottom="0" percent="0" rank="0" text="" dxfId="0">
      <formula>ROUND(B37,2)&lt;&gt;0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44"/>
    <col collapsed="false" customWidth="true" hidden="false" outlineLevel="0" max="5" min="3" style="1" width="12"/>
    <col collapsed="false" customWidth="true" hidden="false" outlineLevel="0" max="6" min="6" style="1" width="9"/>
    <col collapsed="false" customWidth="true" hidden="false" outlineLevel="0" max="7" min="7" style="1" width="46"/>
  </cols>
  <sheetData>
    <row r="1" customFormat="false" ht="21.75" hidden="false" customHeight="true" outlineLevel="0" collapsed="false">
      <c r="A1" s="13" t="s">
        <v>91</v>
      </c>
      <c r="G1" s="14" t="s">
        <v>48</v>
      </c>
    </row>
    <row r="2" customFormat="false" ht="15" hidden="false" customHeight="true" outlineLevel="0" collapsed="false">
      <c r="A2" s="26" t="str">
        <f aca="false">Inputs!B3</f>
        <v>Raipur Polymers Private Limited</v>
      </c>
    </row>
    <row r="4" customFormat="false" ht="21.75" hidden="false" customHeight="true" outlineLevel="0" collapsed="false">
      <c r="A4" s="16" t="s">
        <v>92</v>
      </c>
      <c r="B4" s="18" t="s">
        <v>93</v>
      </c>
      <c r="C4" s="27" t="str">
        <f aca="false">Inputs!B5</f>
        <v>FY 2023-24</v>
      </c>
      <c r="D4" s="27" t="str">
        <f aca="false">Inputs!C5</f>
        <v>FY 2024-25</v>
      </c>
      <c r="E4" s="27" t="str">
        <f aca="false">Inputs!D5</f>
        <v>FY 2025-26</v>
      </c>
      <c r="F4" s="18" t="s">
        <v>94</v>
      </c>
      <c r="G4" s="18" t="s">
        <v>95</v>
      </c>
    </row>
    <row r="5" customFormat="false" ht="15" hidden="false" customHeight="true" outlineLevel="0" collapsed="false">
      <c r="A5" s="19" t="s">
        <v>96</v>
      </c>
      <c r="B5" s="20"/>
      <c r="C5" s="20"/>
      <c r="D5" s="20"/>
      <c r="E5" s="20"/>
      <c r="F5" s="20"/>
      <c r="G5" s="20"/>
    </row>
    <row r="6" customFormat="false" ht="25.5" hidden="false" customHeight="true" outlineLevel="0" collapsed="false">
      <c r="A6" s="21" t="s">
        <v>97</v>
      </c>
      <c r="B6" s="28" t="s">
        <v>98</v>
      </c>
      <c r="C6" s="29" t="n">
        <f aca="false">IFERROR((Inputs!B$32+Inputs!B$33+Inputs!B$34+Inputs!B$35)/(Inputs!B$23+Inputs!B$24+Inputs!B$25+Inputs!B$26),"")</f>
        <v>1.49285714285714</v>
      </c>
      <c r="D6" s="29" t="n">
        <f aca="false">IFERROR((Inputs!C$32+Inputs!C$33+Inputs!C$34+Inputs!C$35)/(Inputs!C$23+Inputs!C$24+Inputs!C$25+Inputs!C$26),"")</f>
        <v>1.47983014861996</v>
      </c>
      <c r="E6" s="29" t="n">
        <f aca="false">IFERROR((Inputs!D$32+Inputs!D$33+Inputs!D$34+Inputs!D$35)/(Inputs!D$23+Inputs!D$24+Inputs!D$25+Inputs!D$26),"")</f>
        <v>1.49427480916031</v>
      </c>
      <c r="F6" s="30" t="str">
        <f aca="false">IF(OR(D6="",E6=""),"",IF(E6&gt;D6,"▲ better",IF(E6=D6,"► same","▼ worse")))</f>
        <v>▲ better</v>
      </c>
      <c r="G6" s="31" t="s">
        <v>99</v>
      </c>
    </row>
    <row r="7" customFormat="false" ht="25.5" hidden="false" customHeight="true" outlineLevel="0" collapsed="false">
      <c r="A7" s="21" t="s">
        <v>100</v>
      </c>
      <c r="B7" s="28" t="s">
        <v>101</v>
      </c>
      <c r="C7" s="29" t="n">
        <f aca="false">IFERROR(((Inputs!B$32+Inputs!B$33+Inputs!B$34+Inputs!B$35)-Inputs!B$32)/(Inputs!B$23+Inputs!B$24+Inputs!B$25+Inputs!B$26),"")</f>
        <v>0.945238095238095</v>
      </c>
      <c r="D7" s="29" t="n">
        <f aca="false">IFERROR(((Inputs!C$32+Inputs!C$33+Inputs!C$34+Inputs!C$35)-Inputs!C$32)/(Inputs!C$23+Inputs!C$24+Inputs!C$25+Inputs!C$26),"")</f>
        <v>0.9447983014862</v>
      </c>
      <c r="E7" s="29" t="n">
        <f aca="false">IFERROR(((Inputs!D$32+Inputs!D$33+Inputs!D$34+Inputs!D$35)-Inputs!D$32)/(Inputs!D$23+Inputs!D$24+Inputs!D$25+Inputs!D$26),"")</f>
        <v>0.956106870229008</v>
      </c>
      <c r="F7" s="30" t="str">
        <f aca="false">IF(OR(D7="",E7=""),"",IF(E7&gt;D7,"▲ better",IF(E7=D7,"► same","▼ worse")))</f>
        <v>▲ better</v>
      </c>
      <c r="G7" s="31" t="s">
        <v>102</v>
      </c>
    </row>
    <row r="8" customFormat="false" ht="25.5" hidden="false" customHeight="true" outlineLevel="0" collapsed="false">
      <c r="A8" s="21" t="s">
        <v>103</v>
      </c>
      <c r="B8" s="28" t="s">
        <v>104</v>
      </c>
      <c r="C8" s="29" t="n">
        <f aca="false">IFERROR(Inputs!B$34/(Inputs!B$23+Inputs!B$24+Inputs!B$25+Inputs!B$26),"")</f>
        <v>0.0785714285714286</v>
      </c>
      <c r="D8" s="29" t="n">
        <f aca="false">IFERROR(Inputs!C$34/(Inputs!C$23+Inputs!C$24+Inputs!C$25+Inputs!C$26),"")</f>
        <v>0.0700636942675159</v>
      </c>
      <c r="E8" s="29" t="n">
        <f aca="false">IFERROR(Inputs!D$34/(Inputs!D$23+Inputs!D$24+Inputs!D$25+Inputs!D$26),"")</f>
        <v>0.0591603053435115</v>
      </c>
      <c r="F8" s="30" t="str">
        <f aca="false">IF(OR(D8="",E8=""),"",IF(E8&gt;D8,"▲ better",IF(E8=D8,"► same","▼ worse")))</f>
        <v>▼ worse</v>
      </c>
      <c r="G8" s="31" t="s">
        <v>105</v>
      </c>
    </row>
    <row r="9" customFormat="false" ht="15" hidden="false" customHeight="true" outlineLevel="0" collapsed="false">
      <c r="A9" s="19" t="s">
        <v>106</v>
      </c>
      <c r="B9" s="20"/>
      <c r="C9" s="20"/>
      <c r="D9" s="20"/>
      <c r="E9" s="20"/>
      <c r="F9" s="20"/>
      <c r="G9" s="20"/>
    </row>
    <row r="10" customFormat="false" ht="25.5" hidden="false" customHeight="true" outlineLevel="0" collapsed="false">
      <c r="A10" s="21" t="s">
        <v>107</v>
      </c>
      <c r="B10" s="28" t="s">
        <v>108</v>
      </c>
      <c r="C10" s="29" t="n">
        <f aca="false">IFERROR((Inputs!B$22+Inputs!B$23+Inputs!B$24)/(Inputs!B$20+Inputs!B$21),"")</f>
        <v>1.12582781456954</v>
      </c>
      <c r="D10" s="29" t="n">
        <f aca="false">IFERROR((Inputs!C$22+Inputs!C$23+Inputs!C$24)/(Inputs!C$20+Inputs!C$21),"")</f>
        <v>0.913443830570902</v>
      </c>
      <c r="E10" s="29" t="n">
        <f aca="false">IFERROR((Inputs!D$22+Inputs!D$23+Inputs!D$24)/(Inputs!D$20+Inputs!D$21),"")</f>
        <v>0.734138972809668</v>
      </c>
      <c r="F10" s="30" t="str">
        <f aca="false">IF(OR(D10="",E10=""),"",IF(E10&lt;D10,"▲ better",IF(E10=D10,"► same","▼ worse")))</f>
        <v>▲ better</v>
      </c>
      <c r="G10" s="31" t="s">
        <v>109</v>
      </c>
    </row>
    <row r="11" customFormat="false" ht="25.5" hidden="false" customHeight="true" outlineLevel="0" collapsed="false">
      <c r="A11" s="21" t="s">
        <v>110</v>
      </c>
      <c r="B11" s="28" t="s">
        <v>111</v>
      </c>
      <c r="C11" s="29" t="n">
        <f aca="false">IFERROR((Inputs!B$27-(Inputs!B$20+Inputs!B$21))/(Inputs!B$20+Inputs!B$21),"")</f>
        <v>1.54525386313466</v>
      </c>
      <c r="D11" s="29" t="n">
        <f aca="false">IFERROR((Inputs!C$27-(Inputs!C$20+Inputs!C$21))/(Inputs!C$20+Inputs!C$21),"")</f>
        <v>1.30939226519337</v>
      </c>
      <c r="E11" s="29" t="n">
        <f aca="false">IFERROR((Inputs!D$27-(Inputs!D$20+Inputs!D$21))/(Inputs!D$20+Inputs!D$21),"")</f>
        <v>1.10876132930514</v>
      </c>
      <c r="F11" s="30" t="str">
        <f aca="false">IF(OR(D11="",E11=""),"",IF(E11&lt;D11,"▲ better",IF(E11=D11,"► same","▼ worse")))</f>
        <v>▲ better</v>
      </c>
      <c r="G11" s="31" t="s">
        <v>112</v>
      </c>
    </row>
    <row r="12" customFormat="false" ht="25.5" hidden="false" customHeight="true" outlineLevel="0" collapsed="false">
      <c r="A12" s="21" t="s">
        <v>113</v>
      </c>
      <c r="B12" s="28" t="s">
        <v>114</v>
      </c>
      <c r="C12" s="29" t="n">
        <f aca="false">IFERROR((Inputs!B$16+Inputs!B$15+Inputs!B$14)/Inputs!B$14,"")</f>
        <v>5.42553191489362</v>
      </c>
      <c r="D12" s="29" t="n">
        <f aca="false">IFERROR((Inputs!C$16+Inputs!C$15+Inputs!C$14)/Inputs!C$14,"")</f>
        <v>6.06538461538462</v>
      </c>
      <c r="E12" s="29" t="n">
        <f aca="false">IFERROR((Inputs!D$16+Inputs!D$15+Inputs!D$14)/Inputs!D$14,"")</f>
        <v>7.04727272727273</v>
      </c>
      <c r="F12" s="30" t="str">
        <f aca="false">IF(OR(D12="",E12=""),"",IF(E12&gt;D12,"▲ better",IF(E12=D12,"► same","▼ worse")))</f>
        <v>▲ better</v>
      </c>
      <c r="G12" s="31" t="s">
        <v>115</v>
      </c>
    </row>
    <row r="13" customFormat="false" ht="25.5" hidden="false" customHeight="true" outlineLevel="0" collapsed="false">
      <c r="A13" s="21" t="s">
        <v>116</v>
      </c>
      <c r="B13" s="28" t="s">
        <v>117</v>
      </c>
      <c r="C13" s="29" t="n">
        <f aca="false">IFERROR((Inputs!B$16+Inputs!B$13+Inputs!B$14)/(Inputs!B$14+Inputs!B$40),"")</f>
        <v>2.86206896551724</v>
      </c>
      <c r="D13" s="29" t="n">
        <f aca="false">IFERROR((Inputs!C$16+Inputs!C$13+Inputs!C$14)/(Inputs!C$14+Inputs!C$40),"")</f>
        <v>3.2</v>
      </c>
      <c r="E13" s="29" t="n">
        <f aca="false">IFERROR((Inputs!D$16+Inputs!D$13+Inputs!D$14)/(Inputs!D$14+Inputs!D$40),"")</f>
        <v>3.65894736842105</v>
      </c>
      <c r="F13" s="30" t="str">
        <f aca="false">IF(OR(D13="",E13=""),"",IF(E13&gt;D13,"▲ better",IF(E13=D13,"► same","▼ worse")))</f>
        <v>▲ better</v>
      </c>
      <c r="G13" s="31" t="s">
        <v>118</v>
      </c>
    </row>
    <row r="14" customFormat="false" ht="15" hidden="false" customHeight="true" outlineLevel="0" collapsed="false">
      <c r="A14" s="19" t="s">
        <v>119</v>
      </c>
      <c r="B14" s="20"/>
      <c r="C14" s="20"/>
      <c r="D14" s="20"/>
      <c r="E14" s="20"/>
      <c r="F14" s="20"/>
      <c r="G14" s="20"/>
    </row>
    <row r="15" customFormat="false" ht="25.5" hidden="false" customHeight="true" outlineLevel="0" collapsed="false">
      <c r="A15" s="21" t="s">
        <v>120</v>
      </c>
      <c r="B15" s="28" t="s">
        <v>121</v>
      </c>
      <c r="C15" s="32" t="n">
        <f aca="false">IFERROR((Inputs!B$7-Inputs!B$9-Inputs!B$10)/Inputs!B$7,"")</f>
        <v>0.38452380952381</v>
      </c>
      <c r="D15" s="32" t="n">
        <f aca="false">IFERROR((Inputs!C$7-Inputs!C$9-Inputs!C$10)/Inputs!C$7,"")</f>
        <v>0.391709844559586</v>
      </c>
      <c r="E15" s="32" t="n">
        <f aca="false">IFERROR((Inputs!D$7-Inputs!D$9-Inputs!D$10)/Inputs!D$7,"")</f>
        <v>0.398214285714286</v>
      </c>
      <c r="F15" s="30" t="str">
        <f aca="false">IF(OR(D15="",E15=""),"",IF(E15&gt;D15,"▲ better",IF(E15=D15,"► same","▼ worse")))</f>
        <v>▲ better</v>
      </c>
      <c r="G15" s="31" t="s">
        <v>122</v>
      </c>
    </row>
    <row r="16" customFormat="false" ht="25.5" hidden="false" customHeight="true" outlineLevel="0" collapsed="false">
      <c r="A16" s="21" t="s">
        <v>123</v>
      </c>
      <c r="B16" s="28" t="s">
        <v>124</v>
      </c>
      <c r="C16" s="32" t="n">
        <f aca="false">IFERROR(Inputs!B$17/Inputs!B$7,"")</f>
        <v>0.171428571428571</v>
      </c>
      <c r="D16" s="32" t="n">
        <f aca="false">IFERROR(Inputs!C$17/Inputs!C$7,"")</f>
        <v>0.182383419689119</v>
      </c>
      <c r="E16" s="32" t="n">
        <f aca="false">IFERROR(Inputs!D$17/Inputs!D$7,"")</f>
        <v>0.191964285714286</v>
      </c>
      <c r="F16" s="30" t="str">
        <f aca="false">IF(OR(D16="",E16=""),"",IF(E16&gt;D16,"▲ better",IF(E16=D16,"► same","▼ worse")))</f>
        <v>▲ better</v>
      </c>
      <c r="G16" s="31" t="s">
        <v>125</v>
      </c>
    </row>
    <row r="17" customFormat="false" ht="25.5" hidden="false" customHeight="true" outlineLevel="0" collapsed="false">
      <c r="A17" s="21" t="s">
        <v>126</v>
      </c>
      <c r="B17" s="28" t="s">
        <v>127</v>
      </c>
      <c r="C17" s="32" t="n">
        <f aca="false">IFERROR(Inputs!B$16/Inputs!B$7,"")</f>
        <v>0.0952380952380952</v>
      </c>
      <c r="D17" s="32" t="n">
        <f aca="false">IFERROR(Inputs!C$16/Inputs!C$7,"")</f>
        <v>0.10020725388601</v>
      </c>
      <c r="E17" s="32" t="n">
        <f aca="false">IFERROR(Inputs!D$16/Inputs!D$7,"")</f>
        <v>0.104732142857143</v>
      </c>
      <c r="F17" s="30" t="str">
        <f aca="false">IF(OR(D17="",E17=""),"",IF(E17&gt;D17,"▲ better",IF(E17=D17,"► same","▼ worse")))</f>
        <v>▲ better</v>
      </c>
      <c r="G17" s="31" t="s">
        <v>128</v>
      </c>
    </row>
    <row r="18" customFormat="false" ht="25.5" hidden="false" customHeight="true" outlineLevel="0" collapsed="false">
      <c r="A18" s="21" t="s">
        <v>129</v>
      </c>
      <c r="B18" s="28" t="s">
        <v>130</v>
      </c>
      <c r="C18" s="32" t="n">
        <f aca="false">IFERROR(Inputs!B$16/IF("B"="B",(Inputs!B$20+Inputs!B$21),((Inputs!B$20+Inputs!B$21)+(Inputs!B$20+Inputs!B$21))/2),"")</f>
        <v>0.353200883002208</v>
      </c>
      <c r="D18" s="32" t="n">
        <f aca="false">IFERROR(Inputs!C$16/IF("C"="B",(Inputs!C$20+Inputs!C$21),((Inputs!C$20+Inputs!C$21)+(Inputs!B$20+Inputs!B$21))/2),"")</f>
        <v>0.388353413654618</v>
      </c>
      <c r="E18" s="32" t="n">
        <f aca="false">IFERROR(Inputs!D$16/IF("D"="B",(Inputs!D$20+Inputs!D$21),((Inputs!D$20+Inputs!D$21)+(Inputs!C$20+Inputs!C$21))/2),"")</f>
        <v>0.389377593360996</v>
      </c>
      <c r="F18" s="30" t="str">
        <f aca="false">IF(OR(D18="",E18=""),"",IF(E18&gt;D18,"▲ better",IF(E18=D18,"► same","▼ worse")))</f>
        <v>▲ better</v>
      </c>
      <c r="G18" s="31" t="s">
        <v>131</v>
      </c>
    </row>
    <row r="19" customFormat="false" ht="25.5" hidden="false" customHeight="true" outlineLevel="0" collapsed="false">
      <c r="A19" s="21" t="s">
        <v>132</v>
      </c>
      <c r="B19" s="28" t="s">
        <v>133</v>
      </c>
      <c r="C19" s="32" t="n">
        <f aca="false">IFERROR((Inputs!B$16+Inputs!B$15+Inputs!B$14)/((Inputs!B$20+Inputs!B$21)+Inputs!B$22+Inputs!B$23),"")</f>
        <v>0.329883570504528</v>
      </c>
      <c r="D19" s="32" t="n">
        <f aca="false">IFERROR((Inputs!C$16+Inputs!C$15+Inputs!C$14)/((Inputs!C$20+Inputs!C$21)+Inputs!C$22+Inputs!C$23),"")</f>
        <v>0.383232077764277</v>
      </c>
      <c r="E19" s="32" t="n">
        <f aca="false">IFERROR((Inputs!D$16+Inputs!D$15+Inputs!D$14)/((Inputs!D$20+Inputs!D$21)+Inputs!D$22+Inputs!D$23),"")</f>
        <v>0.425</v>
      </c>
      <c r="F19" s="30" t="str">
        <f aca="false">IF(OR(D19="",E19=""),"",IF(E19&gt;D19,"▲ better",IF(E19=D19,"► same","▼ worse")))</f>
        <v>▲ better</v>
      </c>
      <c r="G19" s="31" t="s">
        <v>134</v>
      </c>
    </row>
    <row r="20" customFormat="false" ht="15" hidden="false" customHeight="true" outlineLevel="0" collapsed="false">
      <c r="A20" s="19" t="s">
        <v>135</v>
      </c>
      <c r="B20" s="20"/>
      <c r="C20" s="20"/>
      <c r="D20" s="20"/>
      <c r="E20" s="20"/>
      <c r="F20" s="20"/>
      <c r="G20" s="20"/>
    </row>
    <row r="21" customFormat="false" ht="25.5" hidden="false" customHeight="true" outlineLevel="0" collapsed="false">
      <c r="A21" s="21" t="s">
        <v>136</v>
      </c>
      <c r="B21" s="28" t="s">
        <v>137</v>
      </c>
      <c r="C21" s="33" t="n">
        <f aca="false">IFERROR(Inputs!B$32/(Inputs!B$9+Inputs!B$10)*Inputs!B$41,"")</f>
        <v>81.4119922630561</v>
      </c>
      <c r="D21" s="33" t="n">
        <f aca="false">IFERROR(Inputs!C$32/(Inputs!C$9+Inputs!C$10)*Inputs!C$41,"")</f>
        <v>78.3475298126065</v>
      </c>
      <c r="E21" s="33" t="n">
        <f aca="false">IFERROR(Inputs!D$32/(Inputs!D$9+Inputs!D$10)*Inputs!D$41,"")</f>
        <v>76.3575667655786</v>
      </c>
      <c r="F21" s="30" t="str">
        <f aca="false">IF(OR(D21="",E21=""),"",IF(E21&lt;D21,"▲ better",IF(E21=D21,"► same","▼ worse")))</f>
        <v>▲ better</v>
      </c>
      <c r="G21" s="31" t="s">
        <v>138</v>
      </c>
    </row>
    <row r="22" customFormat="false" ht="25.5" hidden="false" customHeight="true" outlineLevel="0" collapsed="false">
      <c r="A22" s="21" t="s">
        <v>139</v>
      </c>
      <c r="B22" s="28" t="s">
        <v>140</v>
      </c>
      <c r="C22" s="33" t="n">
        <f aca="false">IFERROR(Inputs!B$33/Inputs!B$7*Inputs!B$41,"")</f>
        <v>61.8714285714286</v>
      </c>
      <c r="D22" s="33" t="n">
        <f aca="false">IFERROR(Inputs!C$33/Inputs!C$7*Inputs!C$41,"")</f>
        <v>60.139896373057</v>
      </c>
      <c r="E22" s="33" t="n">
        <f aca="false">IFERROR(Inputs!D$33/Inputs!D$7*Inputs!D$41,"")</f>
        <v>57.3571428571429</v>
      </c>
      <c r="F22" s="30" t="str">
        <f aca="false">IF(OR(D22="",E22=""),"",IF(E22&lt;D22,"▲ better",IF(E22=D22,"► same","▼ worse")))</f>
        <v>▲ better</v>
      </c>
      <c r="G22" s="31" t="s">
        <v>141</v>
      </c>
    </row>
    <row r="23" customFormat="false" ht="25.5" hidden="false" customHeight="true" outlineLevel="0" collapsed="false">
      <c r="A23" s="21" t="s">
        <v>142</v>
      </c>
      <c r="B23" s="28" t="s">
        <v>143</v>
      </c>
      <c r="C23" s="33" t="n">
        <f aca="false">IFERROR(Inputs!B$25/Inputs!B$9*Inputs!B$41,"")</f>
        <v>50.1942857142857</v>
      </c>
      <c r="D23" s="33" t="n">
        <f aca="false">IFERROR(Inputs!C$25/Inputs!C$9*Inputs!C$41,"")</f>
        <v>49.4397993311037</v>
      </c>
      <c r="E23" s="33" t="n">
        <f aca="false">IFERROR(Inputs!D$25/Inputs!D$9*Inputs!D$41,"")</f>
        <v>49.267053701016</v>
      </c>
      <c r="F23" s="30" t="str">
        <f aca="false">IF(OR(D23="",E23=""),"",IF(E23&gt;D23,"▲",IF(E23&lt;D23,"▼","►")))</f>
        <v>▼</v>
      </c>
      <c r="G23" s="31" t="s">
        <v>144</v>
      </c>
    </row>
    <row r="24" customFormat="false" ht="25.5" hidden="false" customHeight="true" outlineLevel="0" collapsed="false">
      <c r="A24" s="21" t="s">
        <v>145</v>
      </c>
      <c r="B24" s="28" t="s">
        <v>146</v>
      </c>
      <c r="C24" s="33" t="n">
        <f aca="false">C21+C22-C23</f>
        <v>93.089135120199</v>
      </c>
      <c r="D24" s="33" t="n">
        <f aca="false">D21+D22-D23</f>
        <v>89.0476268545598</v>
      </c>
      <c r="E24" s="33" t="n">
        <f aca="false">E21+E22-E23</f>
        <v>84.4476559217055</v>
      </c>
      <c r="F24" s="30" t="str">
        <f aca="false">IF(OR(D24="",E24=""),"",IF(E24&lt;D24,"▲ better",IF(E24=D24,"► same","▼ worse")))</f>
        <v>▲ better</v>
      </c>
      <c r="G24" s="31" t="s">
        <v>147</v>
      </c>
    </row>
    <row r="25" customFormat="false" ht="25.5" hidden="false" customHeight="true" outlineLevel="0" collapsed="false">
      <c r="A25" s="21" t="s">
        <v>148</v>
      </c>
      <c r="B25" s="28" t="s">
        <v>149</v>
      </c>
      <c r="C25" s="29" t="n">
        <f aca="false">IFERROR(Inputs!B$7/Inputs!B$30,"")</f>
        <v>3.38709677419355</v>
      </c>
      <c r="D25" s="29" t="n">
        <f aca="false">IFERROR(Inputs!C$7/Inputs!C$30,"")</f>
        <v>3.66223908918406</v>
      </c>
      <c r="E25" s="29" t="n">
        <f aca="false">IFERROR(Inputs!D$7/Inputs!D$30,"")</f>
        <v>3.90924956369983</v>
      </c>
      <c r="F25" s="30" t="str">
        <f aca="false">IF(OR(D25="",E25=""),"",IF(E25&gt;D25,"▲ better",IF(E25=D25,"► same","▼ worse")))</f>
        <v>▲ better</v>
      </c>
      <c r="G25" s="31" t="s">
        <v>150</v>
      </c>
    </row>
    <row r="26" customFormat="false" ht="25.5" hidden="false" customHeight="true" outlineLevel="0" collapsed="false">
      <c r="A26" s="21" t="s">
        <v>151</v>
      </c>
      <c r="B26" s="28" t="s">
        <v>152</v>
      </c>
      <c r="C26" s="29" t="n">
        <f aca="false">IFERROR(Inputs!B$7/Inputs!B$36,"")</f>
        <v>1.4570685169124</v>
      </c>
      <c r="D26" s="29" t="n">
        <f aca="false">IFERROR(Inputs!C$7/Inputs!C$36,"")</f>
        <v>1.53907496012759</v>
      </c>
      <c r="E26" s="29" t="n">
        <f aca="false">IFERROR(Inputs!D$7/Inputs!D$36,"")</f>
        <v>1.60458452722063</v>
      </c>
      <c r="F26" s="30" t="str">
        <f aca="false">IF(OR(D26="",E26=""),"",IF(E26&gt;D26,"▲ better",IF(E26=D26,"► same","▼ worse")))</f>
        <v>▲ better</v>
      </c>
      <c r="G26" s="31" t="s">
        <v>153</v>
      </c>
    </row>
    <row r="27" customFormat="false" ht="25.5" hidden="false" customHeight="true" outlineLevel="0" collapsed="false">
      <c r="A27" s="21" t="s">
        <v>154</v>
      </c>
      <c r="B27" s="28" t="s">
        <v>155</v>
      </c>
      <c r="C27" s="29" t="n">
        <f aca="false">IFERROR(Inputs!B$7/((Inputs!B$32+Inputs!B$33+Inputs!B$34+Inputs!B$35)-(Inputs!B$23+Inputs!B$24+Inputs!B$25+Inputs!B$26)),"")</f>
        <v>8.11594202898551</v>
      </c>
      <c r="D27" s="29" t="n">
        <f aca="false">IFERROR(Inputs!C$7/((Inputs!C$32+Inputs!C$33+Inputs!C$34+Inputs!C$35)-(Inputs!C$23+Inputs!C$24+Inputs!C$25+Inputs!C$26)),"")</f>
        <v>8.53982300884956</v>
      </c>
      <c r="E27" s="29" t="n">
        <f aca="false">IFERROR(Inputs!D$7/((Inputs!D$32+Inputs!D$33+Inputs!D$34+Inputs!D$35)-(Inputs!D$23+Inputs!D$24+Inputs!D$25+Inputs!D$26)),"")</f>
        <v>8.64864864864865</v>
      </c>
      <c r="F27" s="30" t="str">
        <f aca="false">IF(OR(D27="",E27=""),"",IF(E27&gt;D27,"▲ better",IF(E27=D27,"► same","▼ worse")))</f>
        <v>▲ better</v>
      </c>
      <c r="G27" s="31" t="s">
        <v>156</v>
      </c>
    </row>
    <row r="28" customFormat="false" ht="15" hidden="false" customHeight="true" outlineLevel="0" collapsed="false">
      <c r="A28" s="19" t="s">
        <v>157</v>
      </c>
      <c r="B28" s="20"/>
      <c r="C28" s="20"/>
      <c r="D28" s="20"/>
      <c r="E28" s="20"/>
      <c r="F28" s="20"/>
      <c r="G28" s="20"/>
    </row>
    <row r="29" customFormat="false" ht="25.5" hidden="false" customHeight="true" outlineLevel="0" collapsed="false">
      <c r="A29" s="21" t="s">
        <v>158</v>
      </c>
      <c r="B29" s="28" t="s">
        <v>159</v>
      </c>
      <c r="C29" s="32" t="str">
        <f aca="false">IFERROR("","")</f>
        <v/>
      </c>
      <c r="D29" s="32" t="n">
        <f aca="false">IFERROR(Inputs!C$7/Inputs!B$7-1,"")</f>
        <v>0.148809523809524</v>
      </c>
      <c r="E29" s="32" t="n">
        <f aca="false">IFERROR(Inputs!D$7/Inputs!C$7-1,"")</f>
        <v>0.160621761658031</v>
      </c>
      <c r="F29" s="30" t="str">
        <f aca="false">IF(OR(D29="",E29=""),"",IF(E29&gt;D29,"▲ better",IF(E29=D29,"► same","▼ worse")))</f>
        <v>▲ better</v>
      </c>
      <c r="G29" s="31" t="s">
        <v>160</v>
      </c>
    </row>
    <row r="30" customFormat="false" ht="25.5" hidden="false" customHeight="true" outlineLevel="0" collapsed="false">
      <c r="A30" s="21" t="s">
        <v>161</v>
      </c>
      <c r="B30" s="28" t="s">
        <v>162</v>
      </c>
      <c r="C30" s="32" t="str">
        <f aca="false">IFERROR("","")</f>
        <v/>
      </c>
      <c r="D30" s="32" t="n">
        <f aca="false">IFERROR(Inputs!C$16/Inputs!B$16-1,"")</f>
        <v>0.20875</v>
      </c>
      <c r="E30" s="32" t="n">
        <f aca="false">IFERROR(Inputs!D$16/Inputs!C$16-1,"")</f>
        <v>0.213029989658738</v>
      </c>
      <c r="F30" s="30" t="str">
        <f aca="false">IF(OR(D30="",E30=""),"",IF(E30&gt;D30,"▲ better",IF(E30=D30,"► same","▼ worse")))</f>
        <v>▲ better</v>
      </c>
      <c r="G30" s="31" t="s">
        <v>163</v>
      </c>
    </row>
    <row r="32" customFormat="false" ht="15" hidden="false" customHeight="true" outlineLevel="0" collapsed="false">
      <c r="A32" s="4" t="s">
        <v>164</v>
      </c>
      <c r="E32" s="30" t="str">
        <f aca="false">IF(AND(Inputs!B37=0,Inputs!C37=0,Inputs!D37=0),"OK","CHECK")</f>
        <v>OK</v>
      </c>
    </row>
  </sheetData>
  <conditionalFormatting sqref="F5:F31">
    <cfRule type="expression" priority="2" aboveAverage="0" equalAverage="0" bottom="0" percent="0" rank="0" text="" dxfId="1">
      <formula>ISNUMBER(SEARCH("better",F5))</formula>
    </cfRule>
    <cfRule type="expression" priority="3" aboveAverage="0" equalAverage="0" bottom="0" percent="0" rank="0" text="" dxfId="2">
      <formula>ISNUMBER(SEARCH("worse",F5))</formula>
    </cfRule>
  </conditionalFormatting>
  <conditionalFormatting sqref="E32">
    <cfRule type="cellIs" priority="4" operator="equal" aboveAverage="0" equalAverage="0" bottom="0" percent="0" rank="0" text="" dxfId="3">
      <formula>"OK"</formula>
    </cfRule>
    <cfRule type="cellIs" priority="5" operator="equal" aboveAverage="0" equalAverage="0" bottom="0" percent="0" rank="0" text="" dxfId="4">
      <formula>"CHECK"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4" t="s">
        <v>165</v>
      </c>
    </row>
    <row r="4" customFormat="false" ht="15" hidden="false" customHeight="false" outlineLevel="0" collapsed="false">
      <c r="B4" s="35" t="s">
        <v>166</v>
      </c>
    </row>
    <row r="5" customFormat="false" ht="23.85" hidden="false" customHeight="false" outlineLevel="0" collapsed="false">
      <c r="B5" s="31" t="s">
        <v>167</v>
      </c>
    </row>
    <row r="6" customFormat="false" ht="23.85" hidden="false" customHeight="false" outlineLevel="0" collapsed="false">
      <c r="B6" s="31" t="s">
        <v>168</v>
      </c>
    </row>
    <row r="7" customFormat="false" ht="23.85" hidden="false" customHeight="false" outlineLevel="0" collapsed="false">
      <c r="B7" s="31" t="s">
        <v>169</v>
      </c>
    </row>
    <row r="8" customFormat="false" ht="15" hidden="false" customHeight="false" outlineLevel="0" collapsed="false">
      <c r="B8" s="31" t="s">
        <v>170</v>
      </c>
    </row>
    <row r="10" customFormat="false" ht="15" hidden="false" customHeight="false" outlineLevel="0" collapsed="false">
      <c r="B10" s="35" t="s">
        <v>171</v>
      </c>
    </row>
    <row r="11" customFormat="false" ht="15" hidden="false" customHeight="false" outlineLevel="0" collapsed="false">
      <c r="B11" s="36" t="s">
        <v>172</v>
      </c>
    </row>
    <row r="13" customFormat="false" ht="15" hidden="false" customHeight="false" outlineLevel="0" collapsed="false">
      <c r="B13" s="37" t="s">
        <v>173</v>
      </c>
    </row>
  </sheetData>
  <hyperlinks>
    <hyperlink ref="B11" r:id="rId1" display="Get it at https://pblab.in/templates/ratio-analysis-cm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2026-10-12T15:53:08Z</dcterms:created>
  <dc:creator>PB Lab</dc:creator>
  <dc:description/>
  <cp:keywords>PB Lab pblab.in Excel template India</cp:keywords>
  <dc:language>en-US</dc:language>
  <cp:lastModifiedBy/>
  <dcterms:modified xsi:type="dcterms:W3CDTF">2026-10-12T15:53:19Z</dcterms:modified>
  <cp:revision>1</cp:revision>
  <dc:subject>Three years of condensed financials in, 20 key ratios with trends out – and in Pro, CMA data with MPBF for your bank loan proposal.</dc:subject>
  <dc:title>Ratio Analysis &amp; CMA Data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