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Inputs" sheetId="2" state="visible" r:id="rId4"/>
    <sheet name="Tax Computation" sheetId="3" state="visible" r:id="rId5"/>
    <sheet name="Get Pr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<sst xmlns="http://schemas.openxmlformats.org/spreadsheetml/2006/main" count="177" uniqueCount="171">
  <si>
    <t xml:space="preserve">Salary TDS Calculator 2026-27 (New vs Old Regime)</t>
  </si>
  <si>
    <t xml:space="preserve">Income tax on salary for tax year 2026-27 under the Income-tax Act, 2025: new and old regimes side by side, HRA exemption, deductions, rebate, surcharge and cess, and the TDS to deduct each remaining month.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</si>
  <si>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</si>
  <si>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</si>
  <si>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</si>
  <si>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</si>
  <si>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Works out income tax on salary for tax year 2026-27 (April 2026 – March 2027) under the Income-tax Act, 2025 – the new and old regimes side by side – and the TDS the employer should deduct each month. It covers HRA exemption, standard deduction, professional tax, home-loan interest and the common deductions in the old regime, employer NPS in both, the rebate with marginal relief, surcharge and cess.</t>
  </si>
  <si>
    <t xml:space="preserve">How to use</t>
  </si>
  <si>
    <t xml:space="preserve">1. Inputs</t>
  </si>
  <si>
    <t xml:space="preserve">Enter the employee, regime chosen, the month you are working on and TDS already deducted; then annual salary, previous-employer salary and declarations.</t>
  </si>
  <si>
    <t xml:space="preserve">2. Tax Computation</t>
  </si>
  <si>
    <t xml:space="preserve">Compare the two regimes. The TDS section shows the tax still to deduct and the amount per remaining month.</t>
  </si>
  <si>
    <t xml:space="preserve">3. Each month</t>
  </si>
  <si>
    <t xml:space="preserve">Update the month and TDS deducted so far; revise declarations when proofs come in (usually January).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</si>
  <si>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</si>
  <si>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</si>
  <si>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</si>
  <si>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</si>
  <si>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</si>
  <si>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</si>
  <si>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</si>
  <si>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</si>
  <si>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</si>
  <si>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</si>
  <si>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Law</t>
  </si>
  <si>
    <t xml:space="preserve">From 1 April 2026 salary TDS is under section 392 of the Income-tax Act, 2025. Forms: 124 (investment declaration, earlier 12BB), 123 (perquisites, earlier 12BA), 130 (salary certificate, earlier Form 16), 138 (quarterly TDS statement, earlier 24Q). Old 1961 section numbers are shown for familiarity only.</t>
  </si>
  <si>
    <t xml:space="preserve">Slabs 2026-27</t>
  </si>
  <si>
    <t xml:space="preserve">New regime: nil to ₹4 lakh, then 5% / 10% / 15% / 20% / 25% up to ₹24 lakh and 30% above; standard deduction ₹75,000; no tax up to ₹12 lakh income. Old regime: ₹2.5 lakh exemption (₹3 lakh / ₹5 lakh for seniors), 5% / 20% / 30%; standard deduction ₹50,000; rebate up to ₹12,500 up to ₹5 lakh. Cess 4%.</t>
  </si>
  <si>
    <t xml:space="preserve">Limits</t>
  </si>
  <si>
    <t xml:space="preserve">Surcharge marginal relief is not calculated. Verify rates and limits against the Act, rules and CBDT circulars before relying on the result.</t>
  </si>
  <si>
    <t xml:space="preserve">Assumptions in the sample data</t>
  </si>
  <si>
    <t xml:space="preserve">An accounts executive in Raipur on ₹14.46 lakh salary including ₹60,000 bonus, paying ₹18,000 a month rent and declaring full old-regime investments; TDS for October 2026 onwards.</t>
  </si>
  <si>
    <t xml:space="preserve">Pro edition includes</t>
  </si>
  <si>
    <t xml:space="preserve">✔</t>
  </si>
  <si>
    <t xml:space="preserve">Monthly TDS Plan – actual salary and TDS for months already paid, projected salary for the rest, and the TDS to deduct each remaining month so the year's tax is fully covered</t>
  </si>
  <si>
    <t xml:space="preserve">Declaration &amp; Proofs – Form 124 (earlier 12BB) tracker for declared vs proved investments and rent, with a reconciliation to the amounts used in the computation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</si>
  <si>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</si>
  <si>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</si>
  <si>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</si>
  <si>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</si>
  <si>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</si>
  <si>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</si>
  <si>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</si>
  <si>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</si>
  <si>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</si>
  <si>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</si>
  <si>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</si>
  <si>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</si>
  <si>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Inputs – employee, salary and declarations (annual ₹)</t>
  </si>
  <si>
    <t xml:space="preserve">PB Lab · pblab.in/templates</t>
  </si>
  <si>
    <t xml:space="preserve">Blue cells are inputs. Amounts are for the whole tax year (April 2026 – March 2027).</t>
  </si>
  <si>
    <t xml:space="preserve">Employee</t>
  </si>
  <si>
    <t xml:space="preserve">Employee name</t>
  </si>
  <si>
    <t xml:space="preserve">Kavita Sahu</t>
  </si>
  <si>
    <t xml:space="preserve">PAN</t>
  </si>
  <si>
    <t xml:space="preserve">BCDPS2345G</t>
  </si>
  <si>
    <t xml:space="preserve">Age group</t>
  </si>
  <si>
    <t xml:space="preserve">Below 60</t>
  </si>
  <si>
    <t xml:space="preserve">Changes the old-regime basic exemption (₹2.5 lakh / ₹3 lakh / ₹5 lakh).</t>
  </si>
  <si>
    <t xml:space="preserve">Regime chosen for TDS</t>
  </si>
  <si>
    <t xml:space="preserve">New</t>
  </si>
  <si>
    <t xml:space="preserve">New regime is the default; the employee must declare if they want the old regime.</t>
  </si>
  <si>
    <t xml:space="preserve">Salary month you are working out TDS for</t>
  </si>
  <si>
    <t xml:space="preserve">TDS for this month onwards is spread over the remaining months.</t>
  </si>
  <si>
    <t xml:space="preserve">TDS already deducted by you this year (₹)</t>
  </si>
  <si>
    <t xml:space="preserve">Total for months before the month above.</t>
  </si>
  <si>
    <t xml:space="preserve">Salary from this employer (annual)</t>
  </si>
  <si>
    <t xml:space="preserve">Basic + DA</t>
  </si>
  <si>
    <t xml:space="preserve">House rent allowance received</t>
  </si>
  <si>
    <t xml:space="preserve">Special and other allowances</t>
  </si>
  <si>
    <t xml:space="preserve">Bonus / variable pay</t>
  </si>
  <si>
    <t xml:space="preserve">Taxable perquisites (Form 123 value)</t>
  </si>
  <si>
    <t xml:space="preserve">Employer contribution to NPS</t>
  </si>
  <si>
    <t xml:space="preserve">Deductible up to 14% of Basic + DA in the new regime and 10% in the old regime.</t>
  </si>
  <si>
    <t xml:space="preserve">Previous employer this year (if any)</t>
  </si>
  <si>
    <t xml:space="preserve">Taxable salary from previous employer</t>
  </si>
  <si>
    <t xml:space="preserve">TDS deducted by previous employer</t>
  </si>
  <si>
    <t xml:space="preserve">Other income declared by the employee</t>
  </si>
  <si>
    <t xml:space="preserve">Interest and other income</t>
  </si>
  <si>
    <t xml:space="preserve">Only if the employee asks you to consider it.</t>
  </si>
  <si>
    <t xml:space="preserve">For the old regime only</t>
  </si>
  <si>
    <t xml:space="preserve">Rent paid in the year</t>
  </si>
  <si>
    <t xml:space="preserve">Landlord's PAN is needed if rent exceeds ₹1 lakh a year.</t>
  </si>
  <si>
    <t xml:space="preserve">Lives in a metro city? (Y/N)</t>
  </si>
  <si>
    <t xml:space="preserve">N</t>
  </si>
  <si>
    <t xml:space="preserve">Metro (50%): Delhi, Mumbai, Kolkata, Chennai, Bengaluru, Hyderabad, Pune, Ahmedabad.</t>
  </si>
  <si>
    <t xml:space="preserve">Professional tax paid</t>
  </si>
  <si>
    <t xml:space="preserve">Specified investments – PF, PPF, ELSS, LIC, tuition fees, home-loan principal (old s.80C)</t>
  </si>
  <si>
    <t xml:space="preserve">Employee PF counts here. Limit ₹1.5 lakh.</t>
  </si>
  <si>
    <t xml:space="preserve">Own NPS contribution – additional (old s.80CCD(1B))</t>
  </si>
  <si>
    <t xml:space="preserve">Limit ₹50,000.</t>
  </si>
  <si>
    <t xml:space="preserve">Health insurance – self and family (old s.80D)</t>
  </si>
  <si>
    <t xml:space="preserve">Limit ₹25,000 (₹50,000 if senior citizen).</t>
  </si>
  <si>
    <t xml:space="preserve">Health insurance – parents (old s.80D)</t>
  </si>
  <si>
    <t xml:space="preserve">Limit ₹25,000 (₹50,000 if parents are senior citizens).</t>
  </si>
  <si>
    <t xml:space="preserve">Interest on home loan – self-occupied</t>
  </si>
  <si>
    <t xml:space="preserve">Limit ₹2 lakh.</t>
  </si>
  <si>
    <t xml:space="preserve">Other deductions (education loan interest, donations, etc.)</t>
  </si>
  <si>
    <t xml:space="preserve">Enter the eligible amount.</t>
  </si>
  <si>
    <t xml:space="preserve">Rates and limits (tax year 2026-27) – inputs</t>
  </si>
  <si>
    <t xml:space="preserve">Standard deduction – new regime</t>
  </si>
  <si>
    <t xml:space="preserve">Standard deduction – old regime</t>
  </si>
  <si>
    <t xml:space="preserve">Rebate – new regime: income up to</t>
  </si>
  <si>
    <t xml:space="preserve">Tax nil up to ₹12 lakh (rebate up to ₹60,000) with marginal relief above it.</t>
  </si>
  <si>
    <t xml:space="preserve">Rebate – old regime: income up to</t>
  </si>
  <si>
    <t xml:space="preserve">Rebate – old regime: maximum</t>
  </si>
  <si>
    <t xml:space="preserve">Limit – specified investments</t>
  </si>
  <si>
    <t xml:space="preserve">Limit – own NPS (additional)</t>
  </si>
  <si>
    <t xml:space="preserve">Limit – health insurance self</t>
  </si>
  <si>
    <t xml:space="preserve">Limit – health insurance parents</t>
  </si>
  <si>
    <t xml:space="preserve">Limit – home-loan interest</t>
  </si>
  <si>
    <t xml:space="preserve">Health &amp; education cess</t>
  </si>
  <si>
    <t xml:space="preserve">Slabs</t>
  </si>
  <si>
    <t xml:space="preserve">New regime – income above (₹)</t>
  </si>
  <si>
    <t xml:space="preserve">Rate</t>
  </si>
  <si>
    <t xml:space="preserve">Old regime – income above (₹) / rate</t>
  </si>
  <si>
    <t xml:space="preserve">Rate steps (worked out)</t>
  </si>
  <si>
    <t xml:space="preserve">Old regime basic exemption (worked out from age)</t>
  </si>
  <si>
    <t xml:space="preserve">Old regime 20% from</t>
  </si>
  <si>
    <t xml:space="preserve">Old regime 30% from</t>
  </si>
  <si>
    <t xml:space="preserve">Surcharge (on income above)</t>
  </si>
  <si>
    <t xml:space="preserve">Income above (₹)</t>
  </si>
  <si>
    <t xml:space="preserve">New regime</t>
  </si>
  <si>
    <t xml:space="preserve">Old regime</t>
  </si>
  <si>
    <t xml:space="preserve">Income-tax computation – tax year 2026-27</t>
  </si>
  <si>
    <t xml:space="preserve">Gross salary (incl. previous employer)</t>
  </si>
  <si>
    <t xml:space="preserve">Less: HRA exemption</t>
  </si>
  <si>
    <t xml:space="preserve">Old regime only: least of HRA received, rent − 10% of Basic, 50%/40% of Basic.</t>
  </si>
  <si>
    <t xml:space="preserve">Less: standard deduction</t>
  </si>
  <si>
    <t xml:space="preserve">Less: professional tax</t>
  </si>
  <si>
    <t xml:space="preserve">Old regime only.</t>
  </si>
  <si>
    <t xml:space="preserve">Income from salary</t>
  </si>
  <si>
    <t xml:space="preserve">Less: interest on home loan (self-occupied)</t>
  </si>
  <si>
    <t xml:space="preserve">Old regime only; loss set off against salary.</t>
  </si>
  <si>
    <t xml:space="preserve">Add: other income</t>
  </si>
  <si>
    <t xml:space="preserve">Gross total income</t>
  </si>
  <si>
    <t xml:space="preserve">Less: employer NPS contribution</t>
  </si>
  <si>
    <t xml:space="preserve">14% of Basic + DA (new) / 10% (old).</t>
  </si>
  <si>
    <t xml:space="preserve">Less: specified investments (old s.80C)</t>
  </si>
  <si>
    <t xml:space="preserve">Less: own NPS – additional (old s.80CCD(1B))</t>
  </si>
  <si>
    <t xml:space="preserve">Less: health insurance (old s.80D)</t>
  </si>
  <si>
    <t xml:space="preserve">Less: other deductions</t>
  </si>
  <si>
    <t xml:space="preserve">Taxable income (rounded to ₹10)</t>
  </si>
  <si>
    <t xml:space="preserve">Tax on slabs</t>
  </si>
  <si>
    <t xml:space="preserve">Less: rebate / marginal relief</t>
  </si>
  <si>
    <t xml:space="preserve">New regime: nil tax up to ₹12 lakh; above it, tax cannot exceed the income above ₹12 lakh.</t>
  </si>
  <si>
    <t xml:space="preserve">Tax after rebate</t>
  </si>
  <si>
    <t xml:space="preserve">Add: surcharge</t>
  </si>
  <si>
    <t xml:space="preserve">Applies above ₹50 lakh. Marginal relief on surcharge is not calculated – check manually near the thresholds.</t>
  </si>
  <si>
    <t xml:space="preserve">Add: health &amp; education cess</t>
  </si>
  <si>
    <t xml:space="preserve">Total tax for the year</t>
  </si>
  <si>
    <t xml:space="preserve">Lower tax under</t>
  </si>
  <si>
    <t xml:space="preserve">TDS to deduct (Income-tax Act, 2025 – section 392)</t>
  </si>
  <si>
    <t xml:space="preserve">Tax for the year – regime chosen</t>
  </si>
  <si>
    <t xml:space="preserve">Less: TDS by previous employer</t>
  </si>
  <si>
    <t xml:space="preserve">Less: TDS already deducted by you</t>
  </si>
  <si>
    <t xml:space="preserve">Tax still to deduct</t>
  </si>
  <si>
    <t xml:space="preserve">Months left including this month</t>
  </si>
  <si>
    <t xml:space="preserve">Counted to March.</t>
  </si>
  <si>
    <t xml:space="preserve">TDS to deduct per month from now</t>
  </si>
  <si>
    <t xml:space="preserve">Deposit by the 7th of the following month (30 April for March).</t>
  </si>
  <si>
    <t xml:space="preserve">Check: regime chosen is the cheaper one</t>
  </si>
  <si>
    <t xml:space="preserve">Information: the employee may still prefer the other regime – this is their choice.</t>
  </si>
  <si>
    <t xml:space="preserve">Upgrade to Salary TDS Calculator 2026-27 (New vs Old Regime) – Pro</t>
  </si>
  <si>
    <t xml:space="preserve">The Pro edition adds:</t>
  </si>
  <si>
    <t xml:space="preserve">✔  Monthly TDS Plan – actual salary and TDS for months already paid, projected salary for the rest, and the TDS to deduct each remaining month so the year's tax is fully covered</t>
  </si>
  <si>
    <t xml:space="preserve">✔  Declaration &amp; Proofs – Form 124 (earlier 12BB) tracker for declared vs proved investments and rent, with a reconciliation to the amounts used in the computation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</si>
  <si>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</si>
  <si>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</si>
  <si>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https://pblab.in/templates/salary-tds-calculator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</si>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</sst>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-yyyy"/>
    <numFmt numFmtId="166" formatCode="#,##0;\(#,##0\);\-"/>
    <numFmt numFmtId="167" formatCode="0.0%;\(0.0%\);\-"/>
    <numFmt numFmtId="168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/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2EFDA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pblab.in/templates/salary-tds-calculato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"✔ Tax for 2026-27: new regime ₹"&amp;TEXT('Tax Computation'!B24,"#,##0")&amp;", old regime ₹"&amp;TEXT('Tax Computation'!C24,"#,##0")&amp;" – deduct ₹"&amp;TEXT('Tax Computation'!B34,"#,##0")&amp;" a month from "&amp;TEXT(Inputs!$B$9,"mmm-yy")</f>
        <v>✔ Tax for 2026-27: new regime ₹90,948, old regime ₹130,603 – deduct ₹8,158 a month from Oct-26</v>
      </c>
    </row>
    <row r="7" customFormat="false" ht="15" hidden="false" customHeight="true" outlineLevel="0" collapsed="false">
      <c r="B7" s="7" t="s">
        <v>5</v>
      </c>
    </row>
    <row r="8" customFormat="false" ht="69.7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55.5" hidden="false" customHeight="true" outlineLevel="0" collapsed="false">
      <c r="B22" s="9" t="s">
        <v>24</v>
      </c>
      <c r="C22" s="8" t="s">
        <v>25</v>
      </c>
    </row>
    <row r="23" customFormat="false" ht="55.5" hidden="false" customHeight="true" outlineLevel="0" collapsed="false">
      <c r="B23" s="9" t="s">
        <v>26</v>
      </c>
      <c r="C23" s="8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6" customFormat="false" ht="15" hidden="false" customHeight="true" outlineLevel="0" collapsed="false">
      <c r="B26" s="7" t="s">
        <v>30</v>
      </c>
    </row>
    <row r="27" customFormat="false" ht="27.75" hidden="false" customHeight="true" outlineLevel="0" collapsed="false">
      <c r="B27" s="8"/>
      <c r="C27" s="8" t="s">
        <v>31</v>
      </c>
    </row>
    <row r="29" customFormat="false" ht="15" hidden="false" customHeight="true" outlineLevel="0" collapsed="false">
      <c r="B29" s="7" t="s">
        <v>32</v>
      </c>
    </row>
    <row r="30" customFormat="false" ht="27.75" hidden="false" customHeight="true" outlineLevel="0" collapsed="false">
      <c r="B30" s="9" t="s">
        <v>33</v>
      </c>
      <c r="C30" s="8" t="s">
        <v>34</v>
      </c>
    </row>
    <row r="31" customFormat="false" ht="27.75" hidden="false" customHeight="true" outlineLevel="0" collapsed="false">
      <c r="B31" s="9" t="s">
        <v>33</v>
      </c>
      <c r="C31" s="8" t="s">
        <v>35</v>
      </c>
    </row>
    <row r="32" customFormat="false" ht="15" hidden="false" customHeight="true" outlineLevel="0" collapsed="false">
      <c r="B32" s="9" t="s">
        <v>33</v>
      </c>
      <c r="C32" s="8" t="s">
        <v>36</v>
      </c>
    </row>
    <row r="34" customFormat="false" ht="15" hidden="false" customHeight="true" outlineLevel="0" collapsed="false">
      <c r="B34" s="7" t="s">
        <v>37</v>
      </c>
    </row>
    <row r="35" customFormat="false" ht="15" hidden="false" customHeight="true" outlineLevel="0" collapsed="false">
      <c r="B35" s="9" t="s">
        <v>38</v>
      </c>
      <c r="C35" s="8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27.7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D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3"/>
    <col collapsed="false" customWidth="true" hidden="false" outlineLevel="0" max="4" min="4" style="1" width="74"/>
  </cols>
  <sheetData>
    <row r="1" customFormat="false" ht="21.75" hidden="false" customHeight="true" outlineLevel="0" collapsed="false">
      <c r="A1" s="13" t="s">
        <v>48</v>
      </c>
      <c r="D1" s="14" t="s">
        <v>49</v>
      </c>
    </row>
    <row r="2" customFormat="false" ht="15" hidden="false" customHeight="true" outlineLevel="0" collapsed="false">
      <c r="A2" s="3" t="s">
        <v>50</v>
      </c>
    </row>
    <row r="4" customFormat="false" ht="15" hidden="false" customHeight="true" outlineLevel="0" collapsed="false">
      <c r="A4" s="15" t="s">
        <v>51</v>
      </c>
      <c r="B4" s="16"/>
      <c r="C4" s="16"/>
      <c r="D4" s="16"/>
    </row>
    <row r="5" customFormat="false" ht="15" hidden="false" customHeight="true" outlineLevel="0" collapsed="false">
      <c r="A5" s="17" t="s">
        <v>52</v>
      </c>
      <c r="B5" s="18" t="s">
        <v>53</v>
      </c>
    </row>
    <row r="6" customFormat="false" ht="15" hidden="false" customHeight="true" outlineLevel="0" collapsed="false">
      <c r="A6" s="17" t="s">
        <v>54</v>
      </c>
      <c r="B6" s="18" t="s">
        <v>55</v>
      </c>
    </row>
    <row r="7" customFormat="false" ht="15" hidden="false" customHeight="true" outlineLevel="0" collapsed="false">
      <c r="A7" s="17" t="s">
        <v>56</v>
      </c>
      <c r="B7" s="18" t="s">
        <v>57</v>
      </c>
      <c r="D7" s="3" t="s">
        <v>58</v>
      </c>
    </row>
    <row r="8" customFormat="false" ht="15" hidden="false" customHeight="true" outlineLevel="0" collapsed="false">
      <c r="A8" s="17" t="s">
        <v>59</v>
      </c>
      <c r="B8" s="18" t="s">
        <v>60</v>
      </c>
      <c r="D8" s="3" t="s">
        <v>61</v>
      </c>
    </row>
    <row r="9" customFormat="false" ht="15" hidden="false" customHeight="true" outlineLevel="0" collapsed="false">
      <c r="A9" s="17" t="s">
        <v>62</v>
      </c>
      <c r="B9" s="19" t="n">
        <v>46296</v>
      </c>
      <c r="D9" s="3" t="s">
        <v>63</v>
      </c>
    </row>
    <row r="10" customFormat="false" ht="15" hidden="false" customHeight="true" outlineLevel="0" collapsed="false">
      <c r="A10" s="17" t="s">
        <v>64</v>
      </c>
      <c r="B10" s="20" t="n">
        <v>42000</v>
      </c>
      <c r="D10" s="3" t="s">
        <v>65</v>
      </c>
    </row>
    <row r="11" customFormat="false" ht="15" hidden="false" customHeight="true" outlineLevel="0" collapsed="false">
      <c r="A11" s="15" t="s">
        <v>66</v>
      </c>
      <c r="B11" s="16"/>
      <c r="C11" s="16"/>
      <c r="D11" s="16"/>
    </row>
    <row r="12" customFormat="false" ht="15" hidden="false" customHeight="true" outlineLevel="0" collapsed="false">
      <c r="A12" s="17" t="s">
        <v>67</v>
      </c>
      <c r="B12" s="20" t="n">
        <v>720000</v>
      </c>
    </row>
    <row r="13" customFormat="false" ht="15" hidden="false" customHeight="true" outlineLevel="0" collapsed="false">
      <c r="A13" s="17" t="s">
        <v>68</v>
      </c>
      <c r="B13" s="20" t="n">
        <v>288000</v>
      </c>
    </row>
    <row r="14" customFormat="false" ht="15" hidden="false" customHeight="true" outlineLevel="0" collapsed="false">
      <c r="A14" s="17" t="s">
        <v>69</v>
      </c>
      <c r="B14" s="20" t="n">
        <v>378000</v>
      </c>
    </row>
    <row r="15" customFormat="false" ht="15" hidden="false" customHeight="true" outlineLevel="0" collapsed="false">
      <c r="A15" s="17" t="s">
        <v>70</v>
      </c>
      <c r="B15" s="20" t="n">
        <v>60000</v>
      </c>
    </row>
    <row r="16" customFormat="false" ht="15" hidden="false" customHeight="true" outlineLevel="0" collapsed="false">
      <c r="A16" s="17" t="s">
        <v>71</v>
      </c>
      <c r="B16" s="20" t="n">
        <v>0</v>
      </c>
    </row>
    <row r="17" customFormat="false" ht="15" hidden="false" customHeight="true" outlineLevel="0" collapsed="false">
      <c r="A17" s="17" t="s">
        <v>72</v>
      </c>
      <c r="B17" s="20" t="n">
        <v>0</v>
      </c>
      <c r="D17" s="3" t="s">
        <v>73</v>
      </c>
    </row>
    <row r="18" customFormat="false" ht="15" hidden="false" customHeight="true" outlineLevel="0" collapsed="false">
      <c r="A18" s="15" t="s">
        <v>74</v>
      </c>
      <c r="B18" s="16"/>
      <c r="C18" s="16"/>
      <c r="D18" s="16"/>
    </row>
    <row r="19" customFormat="false" ht="15" hidden="false" customHeight="true" outlineLevel="0" collapsed="false">
      <c r="A19" s="17" t="s">
        <v>75</v>
      </c>
      <c r="B19" s="20" t="n">
        <v>0</v>
      </c>
    </row>
    <row r="20" customFormat="false" ht="15" hidden="false" customHeight="true" outlineLevel="0" collapsed="false">
      <c r="A20" s="17" t="s">
        <v>76</v>
      </c>
      <c r="B20" s="20" t="n">
        <v>0</v>
      </c>
    </row>
    <row r="21" customFormat="false" ht="15" hidden="false" customHeight="true" outlineLevel="0" collapsed="false">
      <c r="A21" s="15" t="s">
        <v>77</v>
      </c>
      <c r="B21" s="16"/>
      <c r="C21" s="16"/>
      <c r="D21" s="16"/>
    </row>
    <row r="22" customFormat="false" ht="15" hidden="false" customHeight="true" outlineLevel="0" collapsed="false">
      <c r="A22" s="17" t="s">
        <v>78</v>
      </c>
      <c r="B22" s="20" t="n">
        <v>12000</v>
      </c>
      <c r="D22" s="3" t="s">
        <v>79</v>
      </c>
    </row>
    <row r="23" customFormat="false" ht="15" hidden="false" customHeight="true" outlineLevel="0" collapsed="false">
      <c r="A23" s="15" t="s">
        <v>80</v>
      </c>
      <c r="B23" s="16"/>
      <c r="C23" s="16"/>
      <c r="D23" s="16"/>
    </row>
    <row r="24" customFormat="false" ht="15" hidden="false" customHeight="true" outlineLevel="0" collapsed="false">
      <c r="A24" s="17" t="s">
        <v>81</v>
      </c>
      <c r="B24" s="20" t="n">
        <v>216000</v>
      </c>
      <c r="D24" s="3" t="s">
        <v>82</v>
      </c>
    </row>
    <row r="25" customFormat="false" ht="15" hidden="false" customHeight="true" outlineLevel="0" collapsed="false">
      <c r="A25" s="17" t="s">
        <v>83</v>
      </c>
      <c r="B25" s="18" t="s">
        <v>84</v>
      </c>
      <c r="D25" s="3" t="s">
        <v>85</v>
      </c>
    </row>
    <row r="26" customFormat="false" ht="15" hidden="false" customHeight="true" outlineLevel="0" collapsed="false">
      <c r="A26" s="17" t="s">
        <v>86</v>
      </c>
      <c r="B26" s="20" t="n">
        <v>2400</v>
      </c>
    </row>
    <row r="27" customFormat="false" ht="15" hidden="false" customHeight="true" outlineLevel="0" collapsed="false">
      <c r="A27" s="17" t="s">
        <v>87</v>
      </c>
      <c r="B27" s="20" t="n">
        <v>150000</v>
      </c>
      <c r="D27" s="3" t="s">
        <v>88</v>
      </c>
    </row>
    <row r="28" customFormat="false" ht="15" hidden="false" customHeight="true" outlineLevel="0" collapsed="false">
      <c r="A28" s="17" t="s">
        <v>89</v>
      </c>
      <c r="B28" s="20" t="n">
        <v>50000</v>
      </c>
      <c r="D28" s="3" t="s">
        <v>90</v>
      </c>
    </row>
    <row r="29" customFormat="false" ht="15" hidden="false" customHeight="true" outlineLevel="0" collapsed="false">
      <c r="A29" s="17" t="s">
        <v>91</v>
      </c>
      <c r="B29" s="20" t="n">
        <v>18000</v>
      </c>
      <c r="D29" s="3" t="s">
        <v>92</v>
      </c>
    </row>
    <row r="30" customFormat="false" ht="15" hidden="false" customHeight="true" outlineLevel="0" collapsed="false">
      <c r="A30" s="17" t="s">
        <v>93</v>
      </c>
      <c r="B30" s="20" t="n">
        <v>0</v>
      </c>
      <c r="D30" s="3" t="s">
        <v>94</v>
      </c>
    </row>
    <row r="31" customFormat="false" ht="15" hidden="false" customHeight="true" outlineLevel="0" collapsed="false">
      <c r="A31" s="17" t="s">
        <v>95</v>
      </c>
      <c r="B31" s="20" t="n">
        <v>0</v>
      </c>
      <c r="D31" s="3" t="s">
        <v>96</v>
      </c>
    </row>
    <row r="32" customFormat="false" ht="15" hidden="false" customHeight="true" outlineLevel="0" collapsed="false">
      <c r="A32" s="17" t="s">
        <v>97</v>
      </c>
      <c r="B32" s="20" t="n">
        <v>0</v>
      </c>
      <c r="D32" s="3" t="s">
        <v>98</v>
      </c>
    </row>
    <row r="34" customFormat="false" ht="15" hidden="false" customHeight="true" outlineLevel="0" collapsed="false">
      <c r="A34" s="15" t="s">
        <v>99</v>
      </c>
      <c r="B34" s="16"/>
      <c r="C34" s="16"/>
      <c r="D34" s="16"/>
    </row>
    <row r="35" customFormat="false" ht="15" hidden="false" customHeight="true" outlineLevel="0" collapsed="false">
      <c r="A35" s="17" t="s">
        <v>100</v>
      </c>
      <c r="B35" s="20" t="n">
        <v>75000</v>
      </c>
    </row>
    <row r="36" customFormat="false" ht="15" hidden="false" customHeight="true" outlineLevel="0" collapsed="false">
      <c r="A36" s="17" t="s">
        <v>101</v>
      </c>
      <c r="B36" s="20" t="n">
        <v>50000</v>
      </c>
    </row>
    <row r="37" customFormat="false" ht="15" hidden="false" customHeight="true" outlineLevel="0" collapsed="false">
      <c r="A37" s="17" t="s">
        <v>102</v>
      </c>
      <c r="B37" s="20" t="n">
        <v>1200000</v>
      </c>
      <c r="D37" s="3" t="s">
        <v>103</v>
      </c>
    </row>
    <row r="38" customFormat="false" ht="15" hidden="false" customHeight="true" outlineLevel="0" collapsed="false">
      <c r="A38" s="17" t="s">
        <v>104</v>
      </c>
      <c r="B38" s="20" t="n">
        <v>500000</v>
      </c>
    </row>
    <row r="39" customFormat="false" ht="15" hidden="false" customHeight="true" outlineLevel="0" collapsed="false">
      <c r="A39" s="17" t="s">
        <v>105</v>
      </c>
      <c r="B39" s="20" t="n">
        <v>12500</v>
      </c>
    </row>
    <row r="40" customFormat="false" ht="15" hidden="false" customHeight="true" outlineLevel="0" collapsed="false">
      <c r="A40" s="17" t="s">
        <v>106</v>
      </c>
      <c r="B40" s="20" t="n">
        <v>150000</v>
      </c>
    </row>
    <row r="41" customFormat="false" ht="15" hidden="false" customHeight="true" outlineLevel="0" collapsed="false">
      <c r="A41" s="17" t="s">
        <v>107</v>
      </c>
      <c r="B41" s="20" t="n">
        <v>50000</v>
      </c>
    </row>
    <row r="42" customFormat="false" ht="15" hidden="false" customHeight="true" outlineLevel="0" collapsed="false">
      <c r="A42" s="17" t="s">
        <v>108</v>
      </c>
      <c r="B42" s="20" t="n">
        <v>25000</v>
      </c>
    </row>
    <row r="43" customFormat="false" ht="15" hidden="false" customHeight="true" outlineLevel="0" collapsed="false">
      <c r="A43" s="17" t="s">
        <v>109</v>
      </c>
      <c r="B43" s="20" t="n">
        <v>50000</v>
      </c>
    </row>
    <row r="44" customFormat="false" ht="15" hidden="false" customHeight="true" outlineLevel="0" collapsed="false">
      <c r="A44" s="17" t="s">
        <v>110</v>
      </c>
      <c r="B44" s="20" t="n">
        <v>200000</v>
      </c>
    </row>
    <row r="45" customFormat="false" ht="15" hidden="false" customHeight="true" outlineLevel="0" collapsed="false">
      <c r="A45" s="17" t="s">
        <v>111</v>
      </c>
      <c r="B45" s="21" t="n">
        <v>0.04</v>
      </c>
    </row>
    <row r="47" customFormat="false" ht="15" hidden="false" customHeight="true" outlineLevel="0" collapsed="false">
      <c r="A47" s="15" t="s">
        <v>112</v>
      </c>
      <c r="B47" s="16"/>
      <c r="C47" s="16"/>
      <c r="D47" s="16"/>
    </row>
    <row r="48" customFormat="false" ht="21.75" hidden="false" customHeight="true" outlineLevel="0" collapsed="false">
      <c r="A48" s="22" t="s">
        <v>113</v>
      </c>
      <c r="B48" s="23" t="s">
        <v>114</v>
      </c>
      <c r="C48" s="23"/>
      <c r="D48" s="23" t="s">
        <v>115</v>
      </c>
    </row>
    <row r="49" customFormat="false" ht="15" hidden="false" customHeight="true" outlineLevel="0" collapsed="false">
      <c r="A49" s="20" t="n">
        <v>0</v>
      </c>
      <c r="B49" s="21" t="n">
        <v>0</v>
      </c>
    </row>
    <row r="50" customFormat="false" ht="15" hidden="false" customHeight="true" outlineLevel="0" collapsed="false">
      <c r="A50" s="20" t="n">
        <v>400000</v>
      </c>
      <c r="B50" s="21" t="n">
        <v>0.05</v>
      </c>
    </row>
    <row r="51" customFormat="false" ht="15" hidden="false" customHeight="true" outlineLevel="0" collapsed="false">
      <c r="A51" s="20" t="n">
        <v>800000</v>
      </c>
      <c r="B51" s="21" t="n">
        <v>0.1</v>
      </c>
    </row>
    <row r="52" customFormat="false" ht="15" hidden="false" customHeight="true" outlineLevel="0" collapsed="false">
      <c r="A52" s="20" t="n">
        <v>1200000</v>
      </c>
      <c r="B52" s="21" t="n">
        <v>0.15</v>
      </c>
    </row>
    <row r="53" customFormat="false" ht="15" hidden="false" customHeight="true" outlineLevel="0" collapsed="false">
      <c r="A53" s="20" t="n">
        <v>1600000</v>
      </c>
      <c r="B53" s="21" t="n">
        <v>0.2</v>
      </c>
    </row>
    <row r="54" customFormat="false" ht="15" hidden="false" customHeight="true" outlineLevel="0" collapsed="false">
      <c r="A54" s="20" t="n">
        <v>2000000</v>
      </c>
      <c r="B54" s="21" t="n">
        <v>0.25</v>
      </c>
    </row>
    <row r="55" customFormat="false" ht="15" hidden="false" customHeight="true" outlineLevel="0" collapsed="false">
      <c r="A55" s="20" t="n">
        <v>2400000</v>
      </c>
      <c r="B55" s="21" t="n">
        <v>0.3</v>
      </c>
    </row>
    <row r="56" customFormat="false" ht="15" hidden="false" customHeight="true" outlineLevel="0" collapsed="false">
      <c r="A56" s="3" t="s">
        <v>116</v>
      </c>
    </row>
    <row r="57" customFormat="false" ht="15" hidden="false" customHeight="true" outlineLevel="0" collapsed="false">
      <c r="B57" s="24" t="n">
        <f aca="false">B49</f>
        <v>0</v>
      </c>
    </row>
    <row r="58" customFormat="false" ht="15" hidden="false" customHeight="true" outlineLevel="0" collapsed="false">
      <c r="B58" s="24" t="n">
        <f aca="false">B50-B49</f>
        <v>0.05</v>
      </c>
    </row>
    <row r="59" customFormat="false" ht="15" hidden="false" customHeight="true" outlineLevel="0" collapsed="false">
      <c r="B59" s="24" t="n">
        <f aca="false">B51-B50</f>
        <v>0.05</v>
      </c>
    </row>
    <row r="60" customFormat="false" ht="15" hidden="false" customHeight="true" outlineLevel="0" collapsed="false">
      <c r="B60" s="24" t="n">
        <f aca="false">B52-B51</f>
        <v>0.05</v>
      </c>
    </row>
    <row r="61" customFormat="false" ht="15" hidden="false" customHeight="true" outlineLevel="0" collapsed="false">
      <c r="B61" s="24" t="n">
        <f aca="false">B53-B52</f>
        <v>0.05</v>
      </c>
    </row>
    <row r="62" customFormat="false" ht="15" hidden="false" customHeight="true" outlineLevel="0" collapsed="false">
      <c r="B62" s="24" t="n">
        <f aca="false">B54-B53</f>
        <v>0.05</v>
      </c>
    </row>
    <row r="63" customFormat="false" ht="15" hidden="false" customHeight="true" outlineLevel="0" collapsed="false">
      <c r="B63" s="24" t="n">
        <f aca="false">B55-B54</f>
        <v>0.05</v>
      </c>
    </row>
    <row r="64" customFormat="false" ht="15" hidden="false" customHeight="true" outlineLevel="0" collapsed="false">
      <c r="A64" s="3" t="s">
        <v>117</v>
      </c>
      <c r="B64" s="25" t="n">
        <f aca="false">IF(Inputs!$B$7="80 and above",500000,IF(Inputs!$B$7="60 to 79",300000,250000))</f>
        <v>250000</v>
      </c>
    </row>
    <row r="65" customFormat="false" ht="15" hidden="false" customHeight="true" outlineLevel="0" collapsed="false">
      <c r="A65" s="3" t="s">
        <v>118</v>
      </c>
      <c r="B65" s="25" t="n">
        <f aca="false">500000</f>
        <v>500000</v>
      </c>
    </row>
    <row r="66" customFormat="false" ht="15" hidden="false" customHeight="true" outlineLevel="0" collapsed="false">
      <c r="A66" s="3" t="s">
        <v>119</v>
      </c>
      <c r="B66" s="25" t="n">
        <f aca="false">1000000</f>
        <v>1000000</v>
      </c>
    </row>
    <row r="68" customFormat="false" ht="15" hidden="false" customHeight="true" outlineLevel="0" collapsed="false">
      <c r="A68" s="15" t="s">
        <v>120</v>
      </c>
      <c r="B68" s="16"/>
      <c r="C68" s="16"/>
      <c r="D68" s="16"/>
    </row>
    <row r="69" customFormat="false" ht="19.5" hidden="false" customHeight="true" outlineLevel="0" collapsed="false">
      <c r="A69" s="22" t="s">
        <v>121</v>
      </c>
      <c r="B69" s="23" t="s">
        <v>122</v>
      </c>
      <c r="C69" s="23"/>
      <c r="D69" s="23" t="s">
        <v>123</v>
      </c>
    </row>
    <row r="70" customFormat="false" ht="15" hidden="false" customHeight="true" outlineLevel="0" collapsed="false">
      <c r="A70" s="20" t="n">
        <v>5000000</v>
      </c>
      <c r="B70" s="21" t="n">
        <v>0.1</v>
      </c>
      <c r="D70" s="21" t="n">
        <v>0.1</v>
      </c>
    </row>
    <row r="71" customFormat="false" ht="15" hidden="false" customHeight="true" outlineLevel="0" collapsed="false">
      <c r="A71" s="20" t="n">
        <v>10000000</v>
      </c>
      <c r="B71" s="21" t="n">
        <v>0.15</v>
      </c>
      <c r="D71" s="21" t="n">
        <v>0.15</v>
      </c>
    </row>
    <row r="72" customFormat="false" ht="15" hidden="false" customHeight="true" outlineLevel="0" collapsed="false">
      <c r="A72" s="20" t="n">
        <v>20000000</v>
      </c>
      <c r="B72" s="21" t="n">
        <v>0.25</v>
      </c>
      <c r="D72" s="21" t="n">
        <v>0.25</v>
      </c>
    </row>
    <row r="73" customFormat="false" ht="15" hidden="false" customHeight="true" outlineLevel="0" collapsed="false">
      <c r="A73" s="20" t="n">
        <v>50000000</v>
      </c>
      <c r="B73" s="21" t="n">
        <v>0.25</v>
      </c>
      <c r="D73" s="21" t="n">
        <v>0.37</v>
      </c>
    </row>
  </sheetData>
  <dataValidations count="3">
    <dataValidation allowBlank="true" errorStyle="stop" operator="between" showDropDown="false" showErrorMessage="false" showInputMessage="false" sqref="B7" type="list">
      <formula1>"Below 60,60 to 79,80 and above"</formula1>
      <formula2>0</formula2>
    </dataValidation>
    <dataValidation allowBlank="true" errorStyle="stop" operator="between" showDropDown="false" showErrorMessage="false" showInputMessage="false" sqref="B8" type="list">
      <formula1>"New,Old"</formula1>
      <formula2>0</formula2>
    </dataValidation>
    <dataValidation allowBlank="true" errorStyle="stop" operator="between" showDropDown="false" showErrorMessage="false" showInputMessage="false" sqref="B25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4"/>
    <col collapsed="false" customWidth="true" hidden="false" outlineLevel="0" max="3" min="2" style="1" width="15"/>
    <col collapsed="false" customWidth="true" hidden="false" outlineLevel="0" max="4" min="4" style="1" width="3"/>
    <col collapsed="false" customWidth="true" hidden="false" outlineLevel="0" max="5" min="5" style="1" width="56"/>
  </cols>
  <sheetData>
    <row r="1" customFormat="false" ht="21.75" hidden="false" customHeight="true" outlineLevel="0" collapsed="false">
      <c r="A1" s="13" t="s">
        <v>124</v>
      </c>
      <c r="E1" s="14" t="s">
        <v>49</v>
      </c>
    </row>
    <row r="2" customFormat="false" ht="15" hidden="false" customHeight="true" outlineLevel="0" collapsed="false">
      <c r="A2" s="3" t="str">
        <f aca="false">Inputs!$B$5&amp;" (PAN "&amp;Inputs!$B$6&amp;")"</f>
        <v>Kavita Sahu (PAN BCDPS2345G)</v>
      </c>
    </row>
    <row r="4" customFormat="false" ht="21.75" hidden="false" customHeight="true" outlineLevel="0" collapsed="false">
      <c r="A4" s="22"/>
      <c r="B4" s="23" t="s">
        <v>122</v>
      </c>
      <c r="C4" s="23" t="s">
        <v>123</v>
      </c>
      <c r="D4" s="23"/>
      <c r="E4" s="23" t="s">
        <v>23</v>
      </c>
    </row>
    <row r="5" customFormat="false" ht="15" hidden="false" customHeight="true" outlineLevel="0" collapsed="false">
      <c r="A5" s="17" t="s">
        <v>125</v>
      </c>
      <c r="B5" s="25" t="n">
        <f aca="false">Inputs!$B$12+Inputs!$B$13+Inputs!$B$14+Inputs!$B$15+Inputs!$B$16+Inputs!$B$17+Inputs!$B$19</f>
        <v>1446000</v>
      </c>
      <c r="C5" s="25" t="n">
        <f aca="false">Inputs!$B$12+Inputs!$B$13+Inputs!$B$14+Inputs!$B$15+Inputs!$B$16+Inputs!$B$17+Inputs!$B$19</f>
        <v>1446000</v>
      </c>
    </row>
    <row r="6" customFormat="false" ht="15" hidden="false" customHeight="true" outlineLevel="0" collapsed="false">
      <c r="A6" s="17" t="s">
        <v>126</v>
      </c>
      <c r="B6" s="25" t="n">
        <f aca="false">0</f>
        <v>0</v>
      </c>
      <c r="C6" s="25" t="n">
        <f aca="false">MAX(0,MIN(Inputs!$B$13,Inputs!$B$24-0.1*Inputs!$B$12,IF(Inputs!$B$25="Y",0.5,0.4)*Inputs!$B$12))</f>
        <v>144000</v>
      </c>
      <c r="E6" s="3" t="s">
        <v>127</v>
      </c>
    </row>
    <row r="7" customFormat="false" ht="15" hidden="false" customHeight="true" outlineLevel="0" collapsed="false">
      <c r="A7" s="17" t="s">
        <v>128</v>
      </c>
      <c r="B7" s="25" t="n">
        <f aca="false">MIN(Inputs!$B$35,B5)</f>
        <v>75000</v>
      </c>
      <c r="C7" s="25" t="n">
        <f aca="false">MIN(Inputs!$B$36,C5-C6)</f>
        <v>50000</v>
      </c>
    </row>
    <row r="8" customFormat="false" ht="15" hidden="false" customHeight="true" outlineLevel="0" collapsed="false">
      <c r="A8" s="17" t="s">
        <v>129</v>
      </c>
      <c r="B8" s="25" t="n">
        <f aca="false">0</f>
        <v>0</v>
      </c>
      <c r="C8" s="25" t="n">
        <f aca="false">Inputs!$B$26</f>
        <v>2400</v>
      </c>
      <c r="E8" s="3" t="s">
        <v>130</v>
      </c>
    </row>
    <row r="9" customFormat="false" ht="15" hidden="false" customHeight="true" outlineLevel="0" collapsed="false">
      <c r="A9" s="4" t="s">
        <v>131</v>
      </c>
      <c r="B9" s="26" t="n">
        <f aca="false">B5-B6-B7-B8</f>
        <v>1371000</v>
      </c>
      <c r="C9" s="26" t="n">
        <f aca="false">C5-C6-C7-C8</f>
        <v>1249600</v>
      </c>
    </row>
    <row r="10" customFormat="false" ht="15" hidden="false" customHeight="true" outlineLevel="0" collapsed="false">
      <c r="A10" s="17" t="s">
        <v>132</v>
      </c>
      <c r="B10" s="25" t="n">
        <f aca="false">0</f>
        <v>0</v>
      </c>
      <c r="C10" s="25" t="n">
        <f aca="false">MIN(Inputs!$B$31,Inputs!$B$44)</f>
        <v>0</v>
      </c>
      <c r="E10" s="3" t="s">
        <v>133</v>
      </c>
    </row>
    <row r="11" customFormat="false" ht="15" hidden="false" customHeight="true" outlineLevel="0" collapsed="false">
      <c r="A11" s="17" t="s">
        <v>134</v>
      </c>
      <c r="B11" s="25" t="n">
        <f aca="false">Inputs!$B$22</f>
        <v>12000</v>
      </c>
      <c r="C11" s="25" t="n">
        <f aca="false">Inputs!$B$22</f>
        <v>12000</v>
      </c>
    </row>
    <row r="12" customFormat="false" ht="15" hidden="false" customHeight="true" outlineLevel="0" collapsed="false">
      <c r="A12" s="4" t="s">
        <v>135</v>
      </c>
      <c r="B12" s="26" t="n">
        <f aca="false">B9-B10+B11</f>
        <v>1383000</v>
      </c>
      <c r="C12" s="26" t="n">
        <f aca="false">C9-C10+C11</f>
        <v>1261600</v>
      </c>
    </row>
    <row r="13" customFormat="false" ht="15" hidden="false" customHeight="true" outlineLevel="0" collapsed="false">
      <c r="A13" s="17" t="s">
        <v>136</v>
      </c>
      <c r="B13" s="25" t="n">
        <f aca="false">MIN(Inputs!$B$17,0.14*Inputs!$B$12)</f>
        <v>0</v>
      </c>
      <c r="C13" s="25" t="n">
        <f aca="false">MIN(Inputs!$B$17,0.1*Inputs!$B$12)</f>
        <v>0</v>
      </c>
      <c r="E13" s="3" t="s">
        <v>137</v>
      </c>
    </row>
    <row r="14" customFormat="false" ht="15" hidden="false" customHeight="true" outlineLevel="0" collapsed="false">
      <c r="A14" s="17" t="s">
        <v>138</v>
      </c>
      <c r="B14" s="25" t="n">
        <f aca="false">0</f>
        <v>0</v>
      </c>
      <c r="C14" s="25" t="n">
        <f aca="false">MIN(Inputs!$B$27,Inputs!$B$40)</f>
        <v>150000</v>
      </c>
    </row>
    <row r="15" customFormat="false" ht="15" hidden="false" customHeight="true" outlineLevel="0" collapsed="false">
      <c r="A15" s="17" t="s">
        <v>139</v>
      </c>
      <c r="B15" s="25" t="n">
        <f aca="false">0</f>
        <v>0</v>
      </c>
      <c r="C15" s="25" t="n">
        <f aca="false">MIN(Inputs!$B$28,Inputs!$B$41)</f>
        <v>50000</v>
      </c>
    </row>
    <row r="16" customFormat="false" ht="15" hidden="false" customHeight="true" outlineLevel="0" collapsed="false">
      <c r="A16" s="17" t="s">
        <v>140</v>
      </c>
      <c r="B16" s="25" t="n">
        <f aca="false">0</f>
        <v>0</v>
      </c>
      <c r="C16" s="25" t="n">
        <f aca="false">MIN(Inputs!$B$29,Inputs!$B$42)+MIN(Inputs!$B$30,Inputs!$B$43)</f>
        <v>18000</v>
      </c>
    </row>
    <row r="17" customFormat="false" ht="15" hidden="false" customHeight="true" outlineLevel="0" collapsed="false">
      <c r="A17" s="17" t="s">
        <v>141</v>
      </c>
      <c r="B17" s="25" t="n">
        <f aca="false">0</f>
        <v>0</v>
      </c>
      <c r="C17" s="25" t="n">
        <f aca="false">Inputs!$B$32</f>
        <v>0</v>
      </c>
    </row>
    <row r="18" customFormat="false" ht="15" hidden="false" customHeight="true" outlineLevel="0" collapsed="false">
      <c r="A18" s="4" t="s">
        <v>142</v>
      </c>
      <c r="B18" s="27" t="n">
        <f aca="false">MAX(0,ROUND((B12-SUM(B13:B17))/10,0)*10)</f>
        <v>1383000</v>
      </c>
      <c r="C18" s="27" t="n">
        <f aca="false">MAX(0,ROUND((C12-SUM(C13:C17))/10,0)*10)</f>
        <v>1043600</v>
      </c>
    </row>
    <row r="19" customFormat="false" ht="15" hidden="false" customHeight="true" outlineLevel="0" collapsed="false">
      <c r="A19" s="17" t="s">
        <v>143</v>
      </c>
      <c r="B19" s="28" t="n">
        <f aca="false">ROUND(SUMPRODUCT((B18&gt;Inputs!$A$49:$A$55)*(B18-Inputs!$A$49:$A$55)*Inputs!$B$57:$B$63),0)</f>
        <v>87450</v>
      </c>
      <c r="C19" s="28" t="n">
        <f aca="false">ROUND((MAX(0,C18-Inputs!$B$64)*0.05+MAX(0,C18-MAX(Inputs!$B$64,Inputs!$B$65))*0.15+MAX(0,C18-MAX(Inputs!$B$64,Inputs!$B$66))*0.1),0)</f>
        <v>125580</v>
      </c>
    </row>
    <row r="20" customFormat="false" ht="15" hidden="false" customHeight="true" outlineLevel="0" collapsed="false">
      <c r="A20" s="17" t="s">
        <v>144</v>
      </c>
      <c r="B20" s="25" t="n">
        <f aca="false">IF(B18&lt;=Inputs!$B$37,B19,MAX(0,B19-(B18-Inputs!$B$37)))</f>
        <v>0</v>
      </c>
      <c r="C20" s="25" t="n">
        <f aca="false">IF(C18&lt;=Inputs!$B$38,MIN(C19,Inputs!$B$39),0)</f>
        <v>0</v>
      </c>
      <c r="E20" s="3" t="s">
        <v>145</v>
      </c>
    </row>
    <row r="21" customFormat="false" ht="15" hidden="false" customHeight="true" outlineLevel="0" collapsed="false">
      <c r="A21" s="17" t="s">
        <v>146</v>
      </c>
      <c r="B21" s="25" t="n">
        <f aca="false">B19-B20</f>
        <v>87450</v>
      </c>
      <c r="C21" s="25" t="n">
        <f aca="false">C19-C20</f>
        <v>125580</v>
      </c>
    </row>
    <row r="22" customFormat="false" ht="15" hidden="false" customHeight="true" outlineLevel="0" collapsed="false">
      <c r="A22" s="17" t="s">
        <v>147</v>
      </c>
      <c r="B22" s="28" t="n">
        <f aca="false">ROUND(B21*IF(B18&gt;Inputs!$A$73,Inputs!$B$73,IF(B18&gt;Inputs!$A$72,Inputs!$B$72,IF(B18&gt;Inputs!$A$71,Inputs!$B$71,IF(B18&gt;Inputs!$A$70,Inputs!$B$70,0)))),0)</f>
        <v>0</v>
      </c>
      <c r="C22" s="28" t="n">
        <f aca="false">ROUND(C21*IF(C18&gt;Inputs!$A$73,Inputs!$D$73,IF(C18&gt;Inputs!$A$72,Inputs!$D$72,IF(C18&gt;Inputs!$A$71,Inputs!$D$71,IF(C18&gt;Inputs!$A$70,Inputs!$D$70,0)))),0)</f>
        <v>0</v>
      </c>
      <c r="E22" s="3" t="s">
        <v>148</v>
      </c>
    </row>
    <row r="23" customFormat="false" ht="15" hidden="false" customHeight="true" outlineLevel="0" collapsed="false">
      <c r="A23" s="17" t="s">
        <v>149</v>
      </c>
      <c r="B23" s="25" t="n">
        <f aca="false">ROUND((B21+B22)*Inputs!$B$45,0)</f>
        <v>3498</v>
      </c>
      <c r="C23" s="25" t="n">
        <f aca="false">ROUND((C21+C22)*Inputs!$B$45,0)</f>
        <v>5023</v>
      </c>
    </row>
    <row r="24" customFormat="false" ht="15" hidden="false" customHeight="true" outlineLevel="0" collapsed="false">
      <c r="A24" s="4" t="s">
        <v>150</v>
      </c>
      <c r="B24" s="29" t="n">
        <f aca="false">B21+B22+B23</f>
        <v>90948</v>
      </c>
      <c r="C24" s="29" t="n">
        <f aca="false">C21+C22+C23</f>
        <v>130603</v>
      </c>
    </row>
    <row r="26" customFormat="false" ht="15" hidden="false" customHeight="true" outlineLevel="0" collapsed="false">
      <c r="A26" s="4" t="s">
        <v>151</v>
      </c>
      <c r="B26" s="4" t="str">
        <f aca="false">IF(B24&lt;C24,"New regime",IF(C24&lt;B24,"Old regime","Same"))</f>
        <v>New regime</v>
      </c>
      <c r="C26" s="4" t="str">
        <f aca="false">IF(B24=C24,"","saves ₹"&amp;TEXT(ABS(B24-C24),"#,##0"))</f>
        <v>saves ₹39,655</v>
      </c>
    </row>
    <row r="28" customFormat="false" ht="15" hidden="false" customHeight="true" outlineLevel="0" collapsed="false">
      <c r="A28" s="15" t="s">
        <v>152</v>
      </c>
      <c r="B28" s="16"/>
      <c r="C28" s="16"/>
      <c r="D28" s="16"/>
      <c r="E28" s="16"/>
    </row>
    <row r="29" customFormat="false" ht="15" hidden="false" customHeight="true" outlineLevel="0" collapsed="false">
      <c r="A29" s="4" t="s">
        <v>153</v>
      </c>
      <c r="B29" s="30" t="n">
        <f aca="false">IF(Inputs!$B$8="New",B24,C24)</f>
        <v>90948</v>
      </c>
    </row>
    <row r="30" customFormat="false" ht="15" hidden="false" customHeight="true" outlineLevel="0" collapsed="false">
      <c r="A30" s="17" t="s">
        <v>154</v>
      </c>
      <c r="B30" s="25" t="n">
        <f aca="false">Inputs!$B$20</f>
        <v>0</v>
      </c>
    </row>
    <row r="31" customFormat="false" ht="15" hidden="false" customHeight="true" outlineLevel="0" collapsed="false">
      <c r="A31" s="17" t="s">
        <v>155</v>
      </c>
      <c r="B31" s="25" t="n">
        <f aca="false">Inputs!$B$10</f>
        <v>42000</v>
      </c>
    </row>
    <row r="32" customFormat="false" ht="15" hidden="false" customHeight="true" outlineLevel="0" collapsed="false">
      <c r="A32" s="4" t="s">
        <v>156</v>
      </c>
      <c r="B32" s="30" t="n">
        <f aca="false">MAX(0,B29-B30-B31)</f>
        <v>48948</v>
      </c>
    </row>
    <row r="33" customFormat="false" ht="15" hidden="false" customHeight="true" outlineLevel="0" collapsed="false">
      <c r="A33" s="17" t="s">
        <v>157</v>
      </c>
      <c r="B33" s="31" t="n">
        <f aca="false">IF(MONTH(Inputs!$B$9)&gt;=4,16-MONTH(Inputs!$B$9),4-MONTH(Inputs!$B$9))</f>
        <v>6</v>
      </c>
      <c r="E33" s="3" t="s">
        <v>158</v>
      </c>
    </row>
    <row r="34" customFormat="false" ht="15" hidden="false" customHeight="true" outlineLevel="0" collapsed="false">
      <c r="A34" s="4" t="s">
        <v>159</v>
      </c>
      <c r="B34" s="30" t="n">
        <f aca="false">ROUND(B32/B33,0)</f>
        <v>8158</v>
      </c>
      <c r="E34" s="3" t="s">
        <v>160</v>
      </c>
    </row>
    <row r="36" customFormat="false" ht="15" hidden="false" customHeight="true" outlineLevel="0" collapsed="false">
      <c r="A36" s="3" t="s">
        <v>161</v>
      </c>
      <c r="B36" s="32" t="str">
        <f aca="false">IF(OR(B26="Same",LEFT(B26,3)=Inputs!$B$8),"OK","CHECK")</f>
        <v>OK</v>
      </c>
      <c r="E36" s="3" t="s">
        <v>162</v>
      </c>
    </row>
  </sheetData>
  <conditionalFormatting sqref="B36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3" t="s">
        <v>163</v>
      </c>
    </row>
    <row r="4" customFormat="false" ht="15" hidden="false" customHeight="false" outlineLevel="0" collapsed="false">
      <c r="B4" s="34" t="s">
        <v>164</v>
      </c>
    </row>
    <row r="5" customFormat="false" ht="23.85" hidden="false" customHeight="false" outlineLevel="0" collapsed="false">
      <c r="B5" s="35" t="s">
        <v>165</v>
      </c>
    </row>
    <row r="6" customFormat="false" ht="23.85" hidden="false" customHeight="false" outlineLevel="0" collapsed="false">
      <c r="B6" s="35" t="s">
        <v>166</v>
      </c>
    </row>
    <row r="7" customFormat="false" ht="15" hidden="false" customHeight="false" outlineLevel="0" collapsed="false">
      <c r="B7" s="35" t="s">
        <v>167</v>
      </c>
    </row>
    <row r="9" customFormat="false" ht="15" hidden="false" customHeight="false" outlineLevel="0" collapsed="false">
      <c r="B9" s="34" t="s">
        <v>168</v>
      </c>
    </row>
    <row r="10" customFormat="false" ht="15" hidden="false" customHeight="false" outlineLevel="0" collapsed="false">
      <c r="B10" s="36" t="s">
        <v>169</v>
      </c>
    </row>
    <row r="12" customFormat="false" ht="15" hidden="false" customHeight="false" outlineLevel="0" collapsed="false">
      <c r="B12" s="37" t="s">
        <v>170</v>
      </c>
    </row>
  </sheetData>
  <hyperlinks>
    <hyperlink ref="B10" r:id="rId1" display="Get it at https://pblab.in/templates/salary-tds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2026-10-12T16:29:22Z</dcterms:created>
  <dc:creator>PB Lab</dc:creator>
  <dc:description/>
  <cp:keywords>PB Lab pblab.in Excel template India</cp:keywords>
  <dc:language>en-US</dc:language>
  <cp:lastModifiedBy/>
  <dcterms:modified xsi:type="dcterms:W3CDTF">2026-10-12T16:29:28Z</dcterms:modified>
  <cp:revision>0</cp:revision>
  <dc:subject>Income tax on salary for tax year 2026-27 under the Income-tax Act, 2025: new and old regimes side by side, HRA exemption, deductions, rebate, surcharge and cess, and the TDS to deduct each remaining month.</dc:subject>
  <dc:title>Salary TDS Calculator 2026-27 (New vs Old Regime)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